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_rels/sheet4.xml.rels" ContentType="application/vnd.openxmlformats-package.relationships+xml"/>
  <Override PartName="/xl/worksheets/_rels/sheet1.xml.rels" ContentType="application/vnd.openxmlformats-package.relationships+xml"/>
  <Override PartName="/xl/worksheets/sheet8.xml" ContentType="application/vnd.openxmlformats-officedocument.spreadsheetml.worksheet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vmlDrawing2.vml" ContentType="application/vnd.openxmlformats-officedocument.vmlDrawing"/>
  <Override PartName="/xl/_rels/workbook.xml.rels" ContentType="application/vnd.openxmlformats-package.relationships+xml"/>
  <Override PartName="/xl/comments4.xml" ContentType="application/vnd.openxmlformats-officedocument.spreadsheetml.comment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sumen" sheetId="1" state="visible" r:id="rId3"/>
    <sheet name="Escenarios" sheetId="2" state="visible" r:id="rId4"/>
    <sheet name="Proyeccion ER" sheetId="3" state="visible" r:id="rId5"/>
    <sheet name="Proyectos" sheetId="4" state="visible" r:id="rId6"/>
    <sheet name="Liquidez" sheetId="5" state="visible" r:id="rId7"/>
    <sheet name="Supuestos" sheetId="6" state="visible" r:id="rId8"/>
    <sheet name="Presupuesto 2026" sheetId="7" state="visible" r:id="rId9"/>
    <sheet name="Fin de anio" sheetId="8" state="visible" r:id="rId10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Unknown Author</author>
  </authors>
  <commentList>
    <comment ref="C57" authorId="0">
      <text>
        <r>
          <rPr>
            <sz val="10"/>
            <rFont val="Arial"/>
            <family val="2"/>
          </rPr>
          <t xml:space="preserve">2025: oct–dic 8,383,003 vs jul–sep 7,920,353 (propiedad + por identificar)</t>
        </r>
      </text>
    </comment>
    <comment ref="C58" authorId="0">
      <text>
        <r>
          <rPr>
            <sz val="10"/>
            <rFont val="Arial"/>
            <family val="2"/>
          </rPr>
          <t xml:space="preserve">Dic-2025: 833,802</t>
        </r>
      </text>
    </comment>
    <comment ref="C59" authorId="0">
      <text>
        <r>
          <rPr>
            <sz val="10"/>
            <rFont val="Arial"/>
            <family val="2"/>
          </rPr>
          <t xml:space="preserve">Meses / months</t>
        </r>
      </text>
    </comment>
    <comment ref="C61" authorId="0">
      <text>
        <r>
          <rPr>
            <sz val="10"/>
            <rFont val="Arial"/>
            <family val="2"/>
          </rPr>
          <t xml:space="preserve">Porcentaje logrado de la meta de hoteles (0% = nada) / Share of the hotel target achieved</t>
        </r>
      </text>
    </comment>
  </commentList>
</comments>
</file>

<file path=xl/comments4.xml><?xml version="1.0" encoding="utf-8"?>
<comments xmlns="http://schemas.openxmlformats.org/spreadsheetml/2006/main" xmlns:xdr="http://schemas.openxmlformats.org/drawingml/2006/spreadsheetDrawing">
  <authors>
    <author>Unknown Author</author>
  </authors>
  <commentList>
    <comment ref="H7" authorId="0">
      <text>
        <r>
          <rPr>
            <sz val="10"/>
            <rFont val="Arial"/>
            <family val="2"/>
          </rPr>
          <t xml:space="preserve">Valor capitalizado de 'Barrera Flotante Contra Sargazo' en el estado de posición financiera a sep-2026 (incluye 400,000 de agosto).</t>
        </r>
      </text>
    </comment>
  </commentList>
</comments>
</file>

<file path=xl/sharedStrings.xml><?xml version="1.0" encoding="utf-8"?>
<sst xmlns="http://schemas.openxmlformats.org/spreadsheetml/2006/main" count="1920" uniqueCount="764">
  <si>
    <t xml:space="preserve">Proyección de cierre 2026 — Escenario Ideal — Asociación de Colonos de Puerto Aventuras</t>
  </si>
  <si>
    <t xml:space="preserve">Year-end 2026 projection — Ideal scenario — ACPAV (MXN). Other scenarios: see 'Escenarios' sheet</t>
  </si>
  <si>
    <t xml:space="preserve">Real ene–sep 2026 (estados financieros al 30-sep) + proyección oct–dic. Preparado para la Mesa Directiva, nov-2026. / Actual Jan–Sep + projected Oct–Dec. Prepared for the Board, Nov 2026.</t>
  </si>
  <si>
    <t xml:space="preserve">Concepto</t>
  </si>
  <si>
    <t xml:space="preserve">Concept</t>
  </si>
  <si>
    <t xml:space="preserve">Real ene–sep
Actual Jan–Sep</t>
  </si>
  <si>
    <t xml:space="preserve">Proy. oct–dic
Proj. Oct–Dec</t>
  </si>
  <si>
    <t xml:space="preserve">Total 2026 proy.
Proj. FY2026</t>
  </si>
  <si>
    <t xml:space="preserve">Presupuesto 2026
Budget</t>
  </si>
  <si>
    <t xml:space="preserve">Var $
vs budget</t>
  </si>
  <si>
    <t xml:space="preserve">Var %</t>
  </si>
  <si>
    <t xml:space="preserve">Ingresos ordinarios</t>
  </si>
  <si>
    <t xml:space="preserve">Ordinary income</t>
  </si>
  <si>
    <t xml:space="preserve">Cuotas de mantenimiento (propiedad + por identificar)</t>
  </si>
  <si>
    <t xml:space="preserve">Maintenance fees (property + unidentified)</t>
  </si>
  <si>
    <t xml:space="preserve">Cuotas atrasadas (recuperación de adeudos)</t>
  </si>
  <si>
    <t xml:space="preserve">Past-due fees recovered</t>
  </si>
  <si>
    <t xml:space="preserve">Cuotas de construcción</t>
  </si>
  <si>
    <t xml:space="preserve">Construction fees</t>
  </si>
  <si>
    <t xml:space="preserve">Cuota de mantenimiento de la barrera (no presupuestada)</t>
  </si>
  <si>
    <t xml:space="preserve">Barrier maintenance fee (not budgeted)</t>
  </si>
  <si>
    <t xml:space="preserve">Brazaletes, pasaportes y multas</t>
  </si>
  <si>
    <t xml:space="preserve">Wristbands, passports and fines</t>
  </si>
  <si>
    <t xml:space="preserve">Arrendamiento y reembolsos</t>
  </si>
  <si>
    <t xml:space="preserve">Rent and reimbursements</t>
  </si>
  <si>
    <t xml:space="preserve">Intereses y resultado cambiario</t>
  </si>
  <si>
    <t xml:space="preserve">Interest and FX</t>
  </si>
  <si>
    <t xml:space="preserve">Total ingresos ordinarios</t>
  </si>
  <si>
    <t xml:space="preserve">Total ordinary income</t>
  </si>
  <si>
    <t xml:space="preserve">Egresos ordinarios</t>
  </si>
  <si>
    <t xml:space="preserve">Ordinary expenses</t>
  </si>
  <si>
    <t xml:space="preserve">Seguridad subcontratada</t>
  </si>
  <si>
    <t xml:space="preserve">Subcontracted security</t>
  </si>
  <si>
    <t xml:space="preserve">Nómina (10 departamentos)</t>
  </si>
  <si>
    <t xml:space="preserve">Payroll (10 departments)</t>
  </si>
  <si>
    <t xml:space="preserve">Gastos operativos de mantenimiento</t>
  </si>
  <si>
    <t xml:space="preserve">Maintenance operating expenses</t>
  </si>
  <si>
    <t xml:space="preserve">Gastos de administración</t>
  </si>
  <si>
    <t xml:space="preserve">Administrative expenses</t>
  </si>
  <si>
    <t xml:space="preserve">Total egresos ordinarios (antes de depreciación)</t>
  </si>
  <si>
    <t xml:space="preserve">Total ordinary expenses (before depreciation)</t>
  </si>
  <si>
    <t xml:space="preserve">Resultado ordinario antes de depreciación</t>
  </si>
  <si>
    <t xml:space="preserve">Ordinary result before depreciation</t>
  </si>
  <si>
    <t xml:space="preserve">Depreciación</t>
  </si>
  <si>
    <t xml:space="preserve">Depreciation</t>
  </si>
  <si>
    <t xml:space="preserve">Resultado de la operación ordinaria</t>
  </si>
  <si>
    <t xml:space="preserve">Ordinary operating result</t>
  </si>
  <si>
    <t xml:space="preserve">Proyectos extraordinarios y comités (fondos restringidos)</t>
  </si>
  <si>
    <t xml:space="preserve">Extraordinary projects and committees (restricted funds)</t>
  </si>
  <si>
    <t xml:space="preserve">Cuotas extraordinarias y donativos recaudados</t>
  </si>
  <si>
    <t xml:space="preserve">Extraordinary assessments and donations collected</t>
  </si>
  <si>
    <t xml:space="preserve">Gastos de proyectos registrados en resultados</t>
  </si>
  <si>
    <t xml:space="preserve">Project spending charged to results</t>
  </si>
  <si>
    <t xml:space="preserve">Comités vecinales (neto)</t>
  </si>
  <si>
    <t xml:space="preserve">Neighborhood committees (net)</t>
  </si>
  <si>
    <t xml:space="preserve">Resultado neto de proyectos y comités</t>
  </si>
  <si>
    <t xml:space="preserve">Net result of projects and committees</t>
  </si>
  <si>
    <t xml:space="preserve">Remanente del ejercicio (contable)</t>
  </si>
  <si>
    <t xml:space="preserve">Accounting surplus (deficit) for the year</t>
  </si>
  <si>
    <t xml:space="preserve">Control: ordinario + proyectos − remanente (debe ser 0)</t>
  </si>
  <si>
    <t xml:space="preserve">Check: ordinary + projects − surplus (must be 0)</t>
  </si>
  <si>
    <t xml:space="preserve">Memo: inversión en barrera capitalizada (fuera de resultados)</t>
  </si>
  <si>
    <t xml:space="preserve">Memo: barrier investment capitalized (outside results)</t>
  </si>
  <si>
    <t xml:space="preserve">Fondos de proyectos al 31-dic-2026 (proyectado)</t>
  </si>
  <si>
    <t xml:space="preserve">Project funds at Dec 31, 2026 (projected)</t>
  </si>
  <si>
    <t xml:space="preserve">Aprobado
Approved</t>
  </si>
  <si>
    <t xml:space="preserve">Costo 2026
2026 cost</t>
  </si>
  <si>
    <t xml:space="preserve">Recaudado 2026
Collected</t>
  </si>
  <si>
    <t xml:space="preserve">Aplicado 2026
Applied</t>
  </si>
  <si>
    <t xml:space="preserve">Saldo 31-dic
Balance</t>
  </si>
  <si>
    <t xml:space="preserve">No cubierto
Not covered</t>
  </si>
  <si>
    <t xml:space="preserve">Barrera contra el sargazo</t>
  </si>
  <si>
    <t xml:space="preserve">Sargassum barrier</t>
  </si>
  <si>
    <t xml:space="preserve">Centro Cultural</t>
  </si>
  <si>
    <t xml:space="preserve">Cultural Center</t>
  </si>
  <si>
    <t xml:space="preserve">Ciclovía Fase 2</t>
  </si>
  <si>
    <t xml:space="preserve">Bike path Phase 2</t>
  </si>
  <si>
    <t xml:space="preserve">Acceso principal / Caseta</t>
  </si>
  <si>
    <t xml:space="preserve">Main gate / Gatehouse</t>
  </si>
  <si>
    <t xml:space="preserve">Coral Puerto Recovery (comité)</t>
  </si>
  <si>
    <t xml:space="preserve">Coral committee</t>
  </si>
  <si>
    <t xml:space="preserve">Total</t>
  </si>
  <si>
    <t xml:space="preserve">Liquidez / Liquidity</t>
  </si>
  <si>
    <t xml:space="preserve">30-sep-2026</t>
  </si>
  <si>
    <t xml:space="preserve">31-dic-2026 proy.</t>
  </si>
  <si>
    <t xml:space="preserve">Cambio
Change</t>
  </si>
  <si>
    <t xml:space="preserve">Recursos propios</t>
  </si>
  <si>
    <t xml:space="preserve">Own resources</t>
  </si>
  <si>
    <t xml:space="preserve">Saldo neto de fondos restringidos</t>
  </si>
  <si>
    <t xml:space="preserve">Net restricted funds</t>
  </si>
  <si>
    <t xml:space="preserve">Reserva no comprometida (método de reportes)</t>
  </si>
  <si>
    <t xml:space="preserve">Uncommitted reserve (report method)</t>
  </si>
  <si>
    <t xml:space="preserve">Reserva libre efectiva</t>
  </si>
  <si>
    <t xml:space="preserve">Effective free reserve</t>
  </si>
  <si>
    <t xml:space="preserve">Reserva libre tras cobrar cuotas aprobadas pendientes</t>
  </si>
  <si>
    <t xml:space="preserve">Free reserve after collecting pending approved assessments</t>
  </si>
  <si>
    <t xml:space="preserve">Meses de gasto — reserva no comprometida</t>
  </si>
  <si>
    <t xml:space="preserve">Months of expense — uncommitted</t>
  </si>
  <si>
    <t xml:space="preserve">Meses de gasto — reserva libre efectiva</t>
  </si>
  <si>
    <t xml:space="preserve">Months of expense — effective free</t>
  </si>
  <si>
    <t xml:space="preserve">Meses de gasto — tras cobrar cuotas pendientes</t>
  </si>
  <si>
    <t xml:space="preserve">Months of expense — after pending collections</t>
  </si>
  <si>
    <t xml:space="preserve">Sensibilidades sobre el resultado ordinario 2026</t>
  </si>
  <si>
    <t xml:space="preserve">Sensitivities on the 2026 ordinary result</t>
  </si>
  <si>
    <t xml:space="preserve">Supuesto
Input</t>
  </si>
  <si>
    <t xml:space="preserve">Impacto
Impact</t>
  </si>
  <si>
    <t xml:space="preserve">Resultado ordinario
Ordinary result</t>
  </si>
  <si>
    <t xml:space="preserve">Caso base (esta proyección)</t>
  </si>
  <si>
    <t xml:space="preserve">Base case (this projection)</t>
  </si>
  <si>
    <t xml:space="preserve">Cuotas oct–dic con la estacionalidad de 2025</t>
  </si>
  <si>
    <t xml:space="preserve">Oct–Dec fees with 2025 seasonality (Q4 vs Q3)</t>
  </si>
  <si>
    <t xml:space="preserve">Recuperación de atrasados en dic igual a dic-2025</t>
  </si>
  <si>
    <t xml:space="preserve">December arrears recovery equal to Dec 2025</t>
  </si>
  <si>
    <t xml:space="preserve">Facturación de la renta pendiente de ago–sep</t>
  </si>
  <si>
    <t xml:space="preserve">Invoicing the pending Aug–Sep rent</t>
  </si>
  <si>
    <t xml:space="preserve">Riesgo: cuotas oct–dic 5% debajo de jul–sep</t>
  </si>
  <si>
    <t xml:space="preserve">Risk: Oct–Dec fees 5% below Jul–Sep</t>
  </si>
  <si>
    <t xml:space="preserve">Riesgo: no se logra la cobranza adicional de hoteles</t>
  </si>
  <si>
    <t xml:space="preserve">Risk: the additional hotel collection is not achieved</t>
  </si>
  <si>
    <t xml:space="preserve">Con las tres sensibilidades favorables</t>
  </si>
  <si>
    <t xml:space="preserve">With the three favorable sensitivities</t>
  </si>
  <si>
    <t xml:space="preserve">Cómo leer / How to read</t>
  </si>
  <si>
    <t xml:space="preserve">• Azul = dato real o supuesto editable; negro = fórmula; verde = vínculo a otra hoja. Cambie supuestos en 'Supuestos' y costos de proyectos en 'Proyectos'.</t>
  </si>
  <si>
    <t xml:space="preserve">  Blue = actual or editable input; black = formula; green = link to another sheet. Change assumptions in 'Supuestos' and project costs in 'Proyectos'.</t>
  </si>
  <si>
    <t xml:space="preserve">• El presupuesto es el aprobado en la Asamblea del 21-mar-2026 (seguridad 10.8 M; depreciación 1,337,386). Los proyectos extraordinarios se aprobaron por separado.</t>
  </si>
  <si>
    <t xml:space="preserve">  Budget is the one approved at the Mar 21, 2026 Assembly (security 10.8M; depreciation 1,337,386). Extraordinary projects were approved separately.</t>
  </si>
  <si>
    <t xml:space="preserve">Escenarios de cierre 2026</t>
  </si>
  <si>
    <t xml:space="preserve">Year-end 2026 scenarios (MXN)</t>
  </si>
  <si>
    <t xml:space="preserve">Todos los escenarios incluyen los mismos gastos (proyectos, pavimentación, iluminación). Solo cambia la cobranza adicional. / All scenarios carry the same spending; only the additional collections change.</t>
  </si>
  <si>
    <t xml:space="preserve">Tendencia actual
Current trend</t>
  </si>
  <si>
    <t xml:space="preserve">Medio
Mid</t>
  </si>
  <si>
    <t xml:space="preserve">Ideal
Ideal</t>
  </si>
  <si>
    <t xml:space="preserve">Ideal − Tendencia
Ideal − Trend</t>
  </si>
  <si>
    <t xml:space="preserve">Palancas de cobranza (editables)</t>
  </si>
  <si>
    <t xml:space="preserve">Collection levers (editable)</t>
  </si>
  <si>
    <t xml:space="preserve">% logrado de la cobranza adicional de hoteles</t>
  </si>
  <si>
    <t xml:space="preserve">% achieved of the additional hotel collection</t>
  </si>
  <si>
    <t xml:space="preserve">% logrado de la aceleración de cuotas extraordinarias</t>
  </si>
  <si>
    <t xml:space="preserve">% achieved of the extraordinary-assessment acceleration</t>
  </si>
  <si>
    <t xml:space="preserve">Cobranza adicional de hoteles (meta en Supuestos)</t>
  </si>
  <si>
    <t xml:space="preserve">Additional hotel collections (target in Assumptions)</t>
  </si>
  <si>
    <t xml:space="preserve">Cobranza adicional de cuotas extraordinarias (meta en Supuestos)</t>
  </si>
  <si>
    <t xml:space="preserve">Additional extraordinary collections (target in Assumptions)</t>
  </si>
  <si>
    <t xml:space="preserve">Operación ordinaria 2026</t>
  </si>
  <si>
    <t xml:space="preserve">Ordinary operation 2026</t>
  </si>
  <si>
    <t xml:space="preserve">Variación vs. presupuesto</t>
  </si>
  <si>
    <t xml:space="preserve">Variance vs budget</t>
  </si>
  <si>
    <t xml:space="preserve">Proyectos extraordinarios</t>
  </si>
  <si>
    <t xml:space="preserve">Extraordinary projects</t>
  </si>
  <si>
    <t xml:space="preserve">Cuotas extraordinarias y donativos recaudados 2026</t>
  </si>
  <si>
    <t xml:space="preserve">Extraordinary assessments and donations collected 2026</t>
  </si>
  <si>
    <t xml:space="preserve">Saldo fondo barrera contra el sargazo</t>
  </si>
  <si>
    <t xml:space="preserve">Sargassum barrier fund balance</t>
  </si>
  <si>
    <t xml:space="preserve">Saldo fondo Centro Cultural</t>
  </si>
  <si>
    <t xml:space="preserve">Cultural Center fund balance</t>
  </si>
  <si>
    <t xml:space="preserve">Saldo fondo Ciclovía Fase 2</t>
  </si>
  <si>
    <t xml:space="preserve">Bike path Phase 2 fund balance</t>
  </si>
  <si>
    <t xml:space="preserve">Saldo fondo Acceso principal / Caseta</t>
  </si>
  <si>
    <t xml:space="preserve">Main gate fund balance</t>
  </si>
  <si>
    <t xml:space="preserve">Saldo comité Coral Puerto Recovery</t>
  </si>
  <si>
    <t xml:space="preserve">Coral committee balance</t>
  </si>
  <si>
    <t xml:space="preserve">Saldo neto de fondos al 31-dic</t>
  </si>
  <si>
    <t xml:space="preserve">Net fund balance at Dec 31</t>
  </si>
  <si>
    <t xml:space="preserve">Cuotas extraordinarias aprobadas aún por cobrar al 31-dic</t>
  </si>
  <si>
    <t xml:space="preserve">Approved assessments still to collect at Dec 31</t>
  </si>
  <si>
    <t xml:space="preserve">Costo del acceso no cubierto por la cuota aprobada</t>
  </si>
  <si>
    <t xml:space="preserve">Gate cost not covered by the approved assessment</t>
  </si>
  <si>
    <t xml:space="preserve">Resultado contable</t>
  </si>
  <si>
    <t xml:space="preserve">Accounting result</t>
  </si>
  <si>
    <t xml:space="preserve">Liquidez al 31-dic-2026</t>
  </si>
  <si>
    <t xml:space="preserve">Liquidity at Dec 31, 2026</t>
  </si>
  <si>
    <t xml:space="preserve">Recursos propios (caja e inversiones − pasivo)</t>
  </si>
  <si>
    <t xml:space="preserve">Own resources (cash − liabilities)</t>
  </si>
  <si>
    <t xml:space="preserve">Caja e inversiones estimadas (después del pago del fondo de ahorro)</t>
  </si>
  <si>
    <t xml:space="preserve">Estimated cash and investments (after savings-fund payout)</t>
  </si>
  <si>
    <t xml:space="preserve">Meses de gasto cubiertos — reserva libre efectiva</t>
  </si>
  <si>
    <t xml:space="preserve">Months of expense covered — effective free reserve</t>
  </si>
  <si>
    <t xml:space="preserve">Reserva libre tras cobrar las cuotas aprobadas pendientes</t>
  </si>
  <si>
    <t xml:space="preserve">Meses de gasto cubiertos — tras cobrar cuotas pendientes</t>
  </si>
  <si>
    <t xml:space="preserve">Months of expense covered — after pending collections</t>
  </si>
  <si>
    <t xml:space="preserve">Reserva no comprometida (método de reportes mensuales)</t>
  </si>
  <si>
    <t xml:space="preserve">Uncommitted reserve (monthly-report method)</t>
  </si>
  <si>
    <t xml:space="preserve">Control: columna Ideal = modelo (debe ser 0)</t>
  </si>
  <si>
    <t xml:space="preserve">Check: Ideal column equals the model when levers are 100% (must be 0)</t>
  </si>
  <si>
    <t xml:space="preserve">Definición de escenarios / Scenario definitions</t>
  </si>
  <si>
    <t xml:space="preserve">• Ideal: se logra el 100% de la cobranza adicional de hoteles (1.3 M, cuotas del 2º y 3er trimestre) y de la aceleración de cuotas extraordinarias (600 mil). Es la proyección del resto del libro.</t>
  </si>
  <si>
    <t xml:space="preserve">  Ideal: 100% of the additional hotel collection (1.3M, Q2–Q3 fees) and of the extraordinary acceleration (600K). This is the projection in the rest of the workbook.</t>
  </si>
  <si>
    <t xml:space="preserve">• Medio: se logra el 40% de ambas metas adicionales.</t>
  </si>
  <si>
    <t xml:space="preserve">  Mid: 40% of both additional targets is achieved.</t>
  </si>
  <si>
    <t xml:space="preserve">• Tendencia actual: la cobranza ordinaria y extraordinaria continúa al ritmo de jul–sep, sin cobranza adicional.</t>
  </si>
  <si>
    <t xml:space="preserve">  Current trend: ordinary and extraordinary collections continue at the Jul–Sep pace, with no additional collections.</t>
  </si>
  <si>
    <t xml:space="preserve">• En los tres escenarios se ejecutan los mismos gastos: proyectos al 100% de su costo, pavimentación (530 mil), iluminación adicional (320 mil) y gastos de fin de año.</t>
  </si>
  <si>
    <t xml:space="preserve">  All three scenarios carry the same spending: projects at full cost, paving (530K), extra lighting (320K) and year-end items.</t>
  </si>
  <si>
    <t xml:space="preserve">• Los porcentajes en amarillo son editables; la cobranza extraordinaria adicional nunca excede lo pendiente de cobro de las cuotas aprobadas.</t>
  </si>
  <si>
    <t xml:space="preserve">  Yellow percentages are editable; additional extraordinary collections never exceed what is pending on the approved assessments.</t>
  </si>
  <si>
    <t xml:space="preserve">Estado de resultados 2026: real ene–sep + proyección oct–dic</t>
  </si>
  <si>
    <t xml:space="preserve">2026 income statement: actual Jan–Sep + projected Oct–Dec (MXN)</t>
  </si>
  <si>
    <t xml:space="preserve">Var = Proyectado − Presupuesto. En ingresos, positivo = favorable; en egresos, positivo = sobre presupuesto. / In income positive = favorable; in expenses positive = over budget.</t>
  </si>
  <si>
    <t xml:space="preserve">Cuenta
Account</t>
  </si>
  <si>
    <t xml:space="preserve">Grupo
Group</t>
  </si>
  <si>
    <t xml:space="preserve">Fondo
Fund</t>
  </si>
  <si>
    <t xml:space="preserve">Ene
Real</t>
  </si>
  <si>
    <t xml:space="preserve">Feb
Real</t>
  </si>
  <si>
    <t xml:space="preserve">Mar
Real</t>
  </si>
  <si>
    <t xml:space="preserve">Abr
Real</t>
  </si>
  <si>
    <t xml:space="preserve">May
Real</t>
  </si>
  <si>
    <t xml:space="preserve">Jun
Real</t>
  </si>
  <si>
    <t xml:space="preserve">Jul
Real</t>
  </si>
  <si>
    <t xml:space="preserve">Ago
Real</t>
  </si>
  <si>
    <t xml:space="preserve">Sep
Real</t>
  </si>
  <si>
    <t xml:space="preserve">Oct
Proy.</t>
  </si>
  <si>
    <t xml:space="preserve">Nov
Proy.</t>
  </si>
  <si>
    <t xml:space="preserve">Dic
Proy.</t>
  </si>
  <si>
    <t xml:space="preserve">Var $ vs ppto
Var vs budget</t>
  </si>
  <si>
    <t xml:space="preserve">Real 2025
Actual FY2025</t>
  </si>
  <si>
    <t xml:space="preserve">Fin de año incl. en dic
Year-end items in Dec</t>
  </si>
  <si>
    <t xml:space="preserve">Método (ES)</t>
  </si>
  <si>
    <t xml:space="preserve">Method (EN)</t>
  </si>
  <si>
    <t xml:space="preserve">INGRESOS DEL PERIODO / INCOME</t>
  </si>
  <si>
    <t xml:space="preserve">Cuotas de Mantto Propiedad</t>
  </si>
  <si>
    <t xml:space="preserve">Cuotas ordinarias</t>
  </si>
  <si>
    <t xml:space="preserve">ORD</t>
  </si>
  <si>
    <t xml:space="preserve">Repite jul/ago/sep (patrón trimestral) con el neto de 'por identificar' + cobranza adicional de hoteles (2º y 3er trimestre) en dic</t>
  </si>
  <si>
    <t xml:space="preserve">Repeats Jul/Aug/Sep (quarterly pattern), net of 'unidentified' + additional hotel collections (Q2–Q3 fees) in Dec</t>
  </si>
  <si>
    <t xml:space="preserve">Cuotas de Mantto Atrasadas</t>
  </si>
  <si>
    <t xml:space="preserve">Cuotas atrasadas</t>
  </si>
  <si>
    <t xml:space="preserve">Promedio jul–sep; sin pico de fin de año (posible ingreso adicional)</t>
  </si>
  <si>
    <t xml:space="preserve">Jul–Sep average; no year-end spike assumed (upside)</t>
  </si>
  <si>
    <t xml:space="preserve">Cuotas de Mantto de Construccion</t>
  </si>
  <si>
    <t xml:space="preserve">Promedio ene–sep (ingreso irregular)</t>
  </si>
  <si>
    <t xml:space="preserve">Jan–Sep average (lumpy income)</t>
  </si>
  <si>
    <t xml:space="preserve">Cuota de Mantto Barrera Sargazo</t>
  </si>
  <si>
    <t xml:space="preserve">Cuota mantto. barrera</t>
  </si>
  <si>
    <t xml:space="preserve">Repite jul/ago/sep</t>
  </si>
  <si>
    <t xml:space="preserve">Repeats Jul/Aug/Sep</t>
  </si>
  <si>
    <t xml:space="preserve">Cuotas de Mantto Ext Sargazo</t>
  </si>
  <si>
    <t xml:space="preserve">Cuotas extraordinarias</t>
  </si>
  <si>
    <t xml:space="preserve">EXT</t>
  </si>
  <si>
    <t xml:space="preserve">Jul/ago/sep × factor de decaimiento de cobranza + aceleración en dic (Proyectos, col. T)</t>
  </si>
  <si>
    <t xml:space="preserve">Jul/Aug/Sep × collection decay factor + Dec acceleration (Projects, col. T)</t>
  </si>
  <si>
    <t xml:space="preserve">Cuotas de Mantto Ext Ciclovia</t>
  </si>
  <si>
    <t xml:space="preserve">Cuotas de Mantto Ext Centro Cultural</t>
  </si>
  <si>
    <t xml:space="preserve">Cuotas de Mantto Ext Caseta Seguridad</t>
  </si>
  <si>
    <t xml:space="preserve">Cuotas de Mantto por Identificar</t>
  </si>
  <si>
    <t xml:space="preserve">Se proyecta en cuotas de propiedad (se reclasifican al identificarse)</t>
  </si>
  <si>
    <t xml:space="preserve">Projected within property fees (reclassified once identified)</t>
  </si>
  <si>
    <t xml:space="preserve">Cuotas Mantto Seguridad (Brazaletes)</t>
  </si>
  <si>
    <t xml:space="preserve">Ingresos de seguridad</t>
  </si>
  <si>
    <t xml:space="preserve">Promedio abr–sep</t>
  </si>
  <si>
    <t xml:space="preserve">Apr–Sep average</t>
  </si>
  <si>
    <t xml:space="preserve">Cuotas Mantto Seguridad (Pasaportes)</t>
  </si>
  <si>
    <t xml:space="preserve">Cuotas Mantto Seguridad (Multas)</t>
  </si>
  <si>
    <t xml:space="preserve">Proyecto Corales</t>
  </si>
  <si>
    <t xml:space="preserve">Comités vecinales</t>
  </si>
  <si>
    <t xml:space="preserve">COM</t>
  </si>
  <si>
    <t xml:space="preserve">Comité autofinanciado: neto cero en oct–dic</t>
  </si>
  <si>
    <t xml:space="preserve">Self-funded committee: net zero Oct–Dec</t>
  </si>
  <si>
    <t xml:space="preserve">Proyecto Centro Cultural</t>
  </si>
  <si>
    <t xml:space="preserve">Donativos: no se proyectan</t>
  </si>
  <si>
    <t xml:space="preserve">Donations: not projected</t>
  </si>
  <si>
    <t xml:space="preserve">Ingresos por Arrendamiento</t>
  </si>
  <si>
    <t xml:space="preserve">Arrendamiento</t>
  </si>
  <si>
    <t xml:space="preserve">Renta mensual de contrato; ago–sep no facturados (pendiente)</t>
  </si>
  <si>
    <t xml:space="preserve">Monthly contract rent; Aug–Sep not invoiced (open item)</t>
  </si>
  <si>
    <t xml:space="preserve">Reembolso Gastos Arrend</t>
  </si>
  <si>
    <t xml:space="preserve">Reembolso mensual según presupuesto (mtto + energía)</t>
  </si>
  <si>
    <t xml:space="preserve">Monthly reimbursement per budget (maintenance + power)</t>
  </si>
  <si>
    <t xml:space="preserve">Intereses S/Inversiones Pesos</t>
  </si>
  <si>
    <t xml:space="preserve">Financieros y cambiarios</t>
  </si>
  <si>
    <t xml:space="preserve">Otros Intereses</t>
  </si>
  <si>
    <t xml:space="preserve">Utilidad/Perdida Cambiaria Inversiones</t>
  </si>
  <si>
    <t xml:space="preserve">No se proyecta (no monetario, impredecible)</t>
  </si>
  <si>
    <t xml:space="preserve">Not projected (non-cash, unpredictable)</t>
  </si>
  <si>
    <t xml:space="preserve">Utilidad/Perdida Cambiraria Fluctuacion</t>
  </si>
  <si>
    <t xml:space="preserve">Otras cuentas 2025 sin movimiento en 2026</t>
  </si>
  <si>
    <t xml:space="preserve">Solo referencia 2025</t>
  </si>
  <si>
    <t xml:space="preserve">2025 reference only</t>
  </si>
  <si>
    <t xml:space="preserve">Total Ingresos del Periodo</t>
  </si>
  <si>
    <t xml:space="preserve">Incluye cuotas extraordinarias y comités (no presupuestados); la comparación ordinaria está en Resumen</t>
  </si>
  <si>
    <t xml:space="preserve">Includes extraordinary assessments and committees (not budgeted); ordinary comparison is in Resumen</t>
  </si>
  <si>
    <t xml:space="preserve">EGRESOS DEL PERIODO / EXPENSES</t>
  </si>
  <si>
    <t xml:space="preserve">Depto. de Seguridad</t>
  </si>
  <si>
    <t xml:space="preserve">Security dept.</t>
  </si>
  <si>
    <t xml:space="preserve">Servicios Subcontratados</t>
  </si>
  <si>
    <t xml:space="preserve">Seguridad</t>
  </si>
  <si>
    <t xml:space="preserve">Costo mensual del contrato vigente (sep-2026)</t>
  </si>
  <si>
    <t xml:space="preserve">Current monthly contract cost (Sep 2026)</t>
  </si>
  <si>
    <t xml:space="preserve">Total Depto. de Seguridad</t>
  </si>
  <si>
    <t xml:space="preserve">Depto. de Choferes</t>
  </si>
  <si>
    <t xml:space="preserve">Drivers dept.</t>
  </si>
  <si>
    <t xml:space="preserve">Sueldos y Salarios</t>
  </si>
  <si>
    <t xml:space="preserve">Nómina</t>
  </si>
  <si>
    <t xml:space="preserve">Promedio jul–sep (plantilla actual)</t>
  </si>
  <si>
    <t xml:space="preserve">Jul–Sep average (current headcount)</t>
  </si>
  <si>
    <t xml:space="preserve">Vacaciones</t>
  </si>
  <si>
    <t xml:space="preserve">Prima Vacacional</t>
  </si>
  <si>
    <t xml:space="preserve">Dia Festivo</t>
  </si>
  <si>
    <t xml:space="preserve">Partida anual o no recurrente: sin proyección en oct–dic</t>
  </si>
  <si>
    <t xml:space="preserve">Annual or one-off item: nothing projected Oct–Dec</t>
  </si>
  <si>
    <t xml:space="preserve">Gratificacion Extraordinaria</t>
  </si>
  <si>
    <t xml:space="preserve">Aguinaldo</t>
  </si>
  <si>
    <t xml:space="preserve">17 días de salario (política del presupuesto), pagado en dic</t>
  </si>
  <si>
    <t xml:space="preserve">17 days of salary (budget policy), paid in Dec</t>
  </si>
  <si>
    <t xml:space="preserve">Premio de Asistencia y Puntualidad</t>
  </si>
  <si>
    <t xml:space="preserve">Promedio jul–sep</t>
  </si>
  <si>
    <t xml:space="preserve">Jul–Sep average</t>
  </si>
  <si>
    <t xml:space="preserve">Fondo de Ahorro</t>
  </si>
  <si>
    <t xml:space="preserve">Vales de Despensa</t>
  </si>
  <si>
    <t xml:space="preserve">Compensacion Anual</t>
  </si>
  <si>
    <t xml:space="preserve">Seguro Social</t>
  </si>
  <si>
    <t xml:space="preserve">RCV</t>
  </si>
  <si>
    <t xml:space="preserve">Bimestral IMSS: monto de ago en oct y dic</t>
  </si>
  <si>
    <t xml:space="preserve">Bimonthly IMSS: Aug amount in Oct and Dec</t>
  </si>
  <si>
    <t xml:space="preserve">Afore</t>
  </si>
  <si>
    <t xml:space="preserve">Infonavit</t>
  </si>
  <si>
    <t xml:space="preserve">Impuesto Sobre Nominas</t>
  </si>
  <si>
    <t xml:space="preserve">Promedio jul–sep + 3% sobre aguinaldo en dic</t>
  </si>
  <si>
    <t xml:space="preserve">Jul–Sep average + 3% on Dec bonus</t>
  </si>
  <si>
    <t xml:space="preserve">Total Depto de Choferes</t>
  </si>
  <si>
    <t xml:space="preserve">Depto. de Mantenimiento</t>
  </si>
  <si>
    <t xml:space="preserve">Maintenance dept.</t>
  </si>
  <si>
    <t xml:space="preserve">Premio Asistencia y Puntualidad</t>
  </si>
  <si>
    <t xml:space="preserve">Total Depto. Mantenimiento</t>
  </si>
  <si>
    <t xml:space="preserve">Depto. de Jardineria</t>
  </si>
  <si>
    <t xml:space="preserve">Landscaping dept.</t>
  </si>
  <si>
    <t xml:space="preserve">Prima Dominical</t>
  </si>
  <si>
    <t xml:space="preserve">Fondo De Ahorro</t>
  </si>
  <si>
    <t xml:space="preserve">Vales De Despensa</t>
  </si>
  <si>
    <t xml:space="preserve">Apoyo a Escolares</t>
  </si>
  <si>
    <t xml:space="preserve">Total Depto Jardineria</t>
  </si>
  <si>
    <t xml:space="preserve">Depto. Areas Publicas</t>
  </si>
  <si>
    <t xml:space="preserve">Public areas dept.</t>
  </si>
  <si>
    <t xml:space="preserve">Apoyo a escolares</t>
  </si>
  <si>
    <t xml:space="preserve">Impuesto Sobre nominas</t>
  </si>
  <si>
    <t xml:space="preserve">Total Depto. Areas Publicas</t>
  </si>
  <si>
    <t xml:space="preserve">Depto. Gerencia General</t>
  </si>
  <si>
    <t xml:space="preserve">General management</t>
  </si>
  <si>
    <t xml:space="preserve">Puesto vacante desde jul; el Gerente General se registra en Gerencia Operativa</t>
  </si>
  <si>
    <t xml:space="preserve">Vacant since Jul; General Manager is booked under Operations management</t>
  </si>
  <si>
    <t xml:space="preserve">Indemnizaciones</t>
  </si>
  <si>
    <t xml:space="preserve">Prima de Antiguedad</t>
  </si>
  <si>
    <t xml:space="preserve">Total Gerencia General</t>
  </si>
  <si>
    <t xml:space="preserve">Puesto vacante desde jul; el Gerente General se registra en Gerencia Operativa — evaluar ambas juntas</t>
  </si>
  <si>
    <t xml:space="preserve">Vacant since Jul; General Manager is booked under Operations management — read both together</t>
  </si>
  <si>
    <t xml:space="preserve">Depto. Gerencia Seguridad</t>
  </si>
  <si>
    <t xml:space="preserve">Security management</t>
  </si>
  <si>
    <t xml:space="preserve">30 días de salario (política del presupuesto), pagado en dic</t>
  </si>
  <si>
    <t xml:space="preserve">30 days of salary (budget policy), paid in Dec</t>
  </si>
  <si>
    <t xml:space="preserve">Total Gerencia Seguridad</t>
  </si>
  <si>
    <t xml:space="preserve">Depto. Gerencia Operativa</t>
  </si>
  <si>
    <t xml:space="preserve">Operations management (incl. General Manager since Jul)</t>
  </si>
  <si>
    <t xml:space="preserve">Sueldos Y salarios</t>
  </si>
  <si>
    <t xml:space="preserve">Gratificacion extraordinaria</t>
  </si>
  <si>
    <t xml:space="preserve">Total Gerencia Operativa</t>
  </si>
  <si>
    <t xml:space="preserve">Depto. Gcia. Relaciones Publicas</t>
  </si>
  <si>
    <t xml:space="preserve">Public relations management</t>
  </si>
  <si>
    <t xml:space="preserve">Total Gerencia Relaciones Publicas</t>
  </si>
  <si>
    <t xml:space="preserve">Depto. Gerencia Administrativa</t>
  </si>
  <si>
    <t xml:space="preserve">Administrative management</t>
  </si>
  <si>
    <t xml:space="preserve">Total Gerencia Administrativa</t>
  </si>
  <si>
    <t xml:space="preserve">Depto. Oficina Administrativa</t>
  </si>
  <si>
    <t xml:space="preserve">Administrative office</t>
  </si>
  <si>
    <t xml:space="preserve">Sueldo de sep (plantilla creciente)</t>
  </si>
  <si>
    <t xml:space="preserve">Sep salary (growing headcount)</t>
  </si>
  <si>
    <t xml:space="preserve">Valor de sep</t>
  </si>
  <si>
    <t xml:space="preserve">Sep value</t>
  </si>
  <si>
    <t xml:space="preserve">Uniformes (Oficina Administrativa)</t>
  </si>
  <si>
    <t xml:space="preserve">Compra anual realizada en febrero</t>
  </si>
  <si>
    <t xml:space="preserve">Annual purchase made in February</t>
  </si>
  <si>
    <t xml:space="preserve">Total Oficina Administrativa</t>
  </si>
  <si>
    <t xml:space="preserve">Gastos Operativos de Mantto.</t>
  </si>
  <si>
    <t xml:space="preserve">Combustibles y Lubricantes</t>
  </si>
  <si>
    <t xml:space="preserve">Gastos operativos</t>
  </si>
  <si>
    <t xml:space="preserve">Electricidad</t>
  </si>
  <si>
    <t xml:space="preserve">Facturación bimestral CFE: meses pares/impares abr–sep</t>
  </si>
  <si>
    <t xml:space="preserve">Bimonthly CFE billing: Apr–Sep even/odd months</t>
  </si>
  <si>
    <t xml:space="preserve">Recoleccion de Basura</t>
  </si>
  <si>
    <t xml:space="preserve">Recoleccion de Sargazo</t>
  </si>
  <si>
    <t xml:space="preserve">Promedio jul–sep (fin de temporada)</t>
  </si>
  <si>
    <t xml:space="preserve">Jul–Sep average (end of season)</t>
  </si>
  <si>
    <t xml:space="preserve">Cuotas Sindicales</t>
  </si>
  <si>
    <t xml:space="preserve">Mantto. General</t>
  </si>
  <si>
    <t xml:space="preserve">Limpieza de Calles</t>
  </si>
  <si>
    <t xml:space="preserve">Fumigacion</t>
  </si>
  <si>
    <t xml:space="preserve">Mantto. Iluminacion</t>
  </si>
  <si>
    <t xml:space="preserve">Mantto. Plumas de Acceso</t>
  </si>
  <si>
    <t xml:space="preserve">Camaras de Seguridad</t>
  </si>
  <si>
    <t xml:space="preserve">Mantto. Camiones</t>
  </si>
  <si>
    <t xml:space="preserve">Mantto. Calles y Avenidas</t>
  </si>
  <si>
    <t xml:space="preserve">Proyecto Integral de Repavimentacion de Calles</t>
  </si>
  <si>
    <t xml:space="preserve">Gasto único de enero</t>
  </si>
  <si>
    <t xml:space="preserve">One-off January spend</t>
  </si>
  <si>
    <t xml:space="preserve">Reparación y mtto Centro Cultural</t>
  </si>
  <si>
    <t xml:space="preserve">Gasto del Centro Cultural registrado en cuenta ordinaria; el resto del proyecto se proyecta en Gastos Extraordinarios</t>
  </si>
  <si>
    <t xml:space="preserve">Cultural Center spend booked to an ordinary account; the rest of the project is projected under Extraordinary expenses</t>
  </si>
  <si>
    <t xml:space="preserve">Suministros Generales</t>
  </si>
  <si>
    <t xml:space="preserve">Mantto Eqpos de Mantenimiento</t>
  </si>
  <si>
    <t xml:space="preserve">Jardineria Suministros</t>
  </si>
  <si>
    <t xml:space="preserve">Suministros de Construccion</t>
  </si>
  <si>
    <t xml:space="preserve">Señalizacion de Calles y Avenidas</t>
  </si>
  <si>
    <t xml:space="preserve">Mantto. Caseta de Seguridad</t>
  </si>
  <si>
    <t xml:space="preserve">Agua Potable Campamento</t>
  </si>
  <si>
    <t xml:space="preserve">Total Gastos Operativos Mantto.</t>
  </si>
  <si>
    <t xml:space="preserve">Incluye 156,132 del Centro Cultural (fondo EXT); la comparación ordinaria está en Resumen</t>
  </si>
  <si>
    <t xml:space="preserve">Includes 156,132 of Cultural Center spend (EXT fund); ordinary comparison is in Resumen</t>
  </si>
  <si>
    <t xml:space="preserve">Gastos de Administracion</t>
  </si>
  <si>
    <t xml:space="preserve">Tarjetas Inteligentes</t>
  </si>
  <si>
    <t xml:space="preserve">Administración</t>
  </si>
  <si>
    <t xml:space="preserve">Promedio ene–sep (compras irregulares)</t>
  </si>
  <si>
    <t xml:space="preserve">Jan–Sep average (lumpy purchases)</t>
  </si>
  <si>
    <t xml:space="preserve">Uniformes</t>
  </si>
  <si>
    <t xml:space="preserve">Igual a oct-2025; compras anuales ya superan el presupuesto</t>
  </si>
  <si>
    <t xml:space="preserve">Same as Oct 2025; annual purchases already exceed budget</t>
  </si>
  <si>
    <t xml:space="preserve">Brazaletes</t>
  </si>
  <si>
    <t xml:space="preserve">Compra anual realizada en abril</t>
  </si>
  <si>
    <t xml:space="preserve">Annual purchase made in April</t>
  </si>
  <si>
    <t xml:space="preserve">Cuotas Centro Comercial</t>
  </si>
  <si>
    <t xml:space="preserve">Honorarios Contables</t>
  </si>
  <si>
    <t xml:space="preserve">Iguala mensual vigente</t>
  </si>
  <si>
    <t xml:space="preserve">Current monthly retainer</t>
  </si>
  <si>
    <t xml:space="preserve">Comisiones Bancarias</t>
  </si>
  <si>
    <t xml:space="preserve">Auditoria Anual</t>
  </si>
  <si>
    <t xml:space="preserve">Anticipo 50% JA Del Río (ejercicio 2026)</t>
  </si>
  <si>
    <t xml:space="preserve">50% advance JA Del Río (FY2026 audit)</t>
  </si>
  <si>
    <t xml:space="preserve">Suministros de Oficina</t>
  </si>
  <si>
    <t xml:space="preserve">Seguro de Vehiculos</t>
  </si>
  <si>
    <t xml:space="preserve">Renovaciones nov–dic (patrón 2024–2025)</t>
  </si>
  <si>
    <t xml:space="preserve">Nov–Dec renewals (2024–2025 pattern)</t>
  </si>
  <si>
    <t xml:space="preserve">Electricidad Casa Mantto.</t>
  </si>
  <si>
    <t xml:space="preserve">Honorarios Legales</t>
  </si>
  <si>
    <t xml:space="preserve">Mantto. Equipos de Computo</t>
  </si>
  <si>
    <t xml:space="preserve">Promedio ene–sep</t>
  </si>
  <si>
    <t xml:space="preserve">Jan–Sep average</t>
  </si>
  <si>
    <t xml:space="preserve">Asamblea Anual</t>
  </si>
  <si>
    <t xml:space="preserve">Próxima asamblea ordinaria: abril 2027</t>
  </si>
  <si>
    <t xml:space="preserve">Next ordinary assembly: April 2027</t>
  </si>
  <si>
    <t xml:space="preserve">Mantto de Equipos de Oficina</t>
  </si>
  <si>
    <t xml:space="preserve">Telefonos / Internet</t>
  </si>
  <si>
    <t xml:space="preserve">Seguro Responsabilidad Civil</t>
  </si>
  <si>
    <t xml:space="preserve">Prima mensual de sep + renovación anual en oct (patrón 2024–2025)</t>
  </si>
  <si>
    <t xml:space="preserve">Sep monthly premium + annual renewal in Oct (2024–2025 pattern)</t>
  </si>
  <si>
    <t xml:space="preserve">Impuestos Prediales</t>
  </si>
  <si>
    <t xml:space="preserve">Pago anual en enero</t>
  </si>
  <si>
    <t xml:space="preserve">Annual payment in January</t>
  </si>
  <si>
    <t xml:space="preserve">Tenencia Vehicular</t>
  </si>
  <si>
    <t xml:space="preserve">Pago anual en marzo</t>
  </si>
  <si>
    <t xml:space="preserve">Annual payment in March</t>
  </si>
  <si>
    <t xml:space="preserve">Agua Oficina</t>
  </si>
  <si>
    <t xml:space="preserve">Multas y derechos</t>
  </si>
  <si>
    <t xml:space="preserve">No recurrente</t>
  </si>
  <si>
    <t xml:space="preserve">One-off</t>
  </si>
  <si>
    <t xml:space="preserve">Total Gastos Administracion</t>
  </si>
  <si>
    <t xml:space="preserve">Gastos Extraordinarios</t>
  </si>
  <si>
    <t xml:space="preserve">Extraordinary project expenses</t>
  </si>
  <si>
    <t xml:space="preserve">Remodelacion Caseta Seguridad</t>
  </si>
  <si>
    <t xml:space="preserve">Saldo por ejercer del proyecto ÷ 3 (hoja Proyectos)</t>
  </si>
  <si>
    <t xml:space="preserve">Project remaining spend ÷ 3 (Projects sheet)</t>
  </si>
  <si>
    <t xml:space="preserve">Reparacion Centro Cultural</t>
  </si>
  <si>
    <t xml:space="preserve">Ciclovia Fase 2</t>
  </si>
  <si>
    <t xml:space="preserve">Total Gastos Extraordinarios</t>
  </si>
  <si>
    <t xml:space="preserve">Gastos Comites Vecinales</t>
  </si>
  <si>
    <t xml:space="preserve">Neighborhood committees</t>
  </si>
  <si>
    <t xml:space="preserve">Total Gastos Comites Vecinales</t>
  </si>
  <si>
    <t xml:space="preserve">Depreciaciones</t>
  </si>
  <si>
    <t xml:space="preserve">Depreciaciones del Ejercicio</t>
  </si>
  <si>
    <t xml:space="preserve">Cargo de sep + depreciación de la inversión adicional en barrera (dic)</t>
  </si>
  <si>
    <t xml:space="preserve">Sep charge + depreciation of the additional barrier investment (Dec)</t>
  </si>
  <si>
    <t xml:space="preserve">Total Depreciaciones</t>
  </si>
  <si>
    <t xml:space="preserve">Total Egresos del Periodo / Total expenses</t>
  </si>
  <si>
    <t xml:space="preserve">Incluye proyectos extraordinarios y comités (no presupuestados)</t>
  </si>
  <si>
    <t xml:space="preserve">Includes extraordinary projects and committees (not budgeted)</t>
  </si>
  <si>
    <t xml:space="preserve">Remanente del Ejercicio / Surplus (deficit)</t>
  </si>
  <si>
    <t xml:space="preserve">Remanente contable: incluye fondos restringidos; ver Resumen</t>
  </si>
  <si>
    <t xml:space="preserve">Accounting surplus: includes restricted funds; see Resumen</t>
  </si>
  <si>
    <t xml:space="preserve">Control: remanente ene–sep según estado de resultados sep-2026 / per Sep 2026 statement</t>
  </si>
  <si>
    <t xml:space="preserve">← diferencia (debe ser ≈0, redondeo) / difference</t>
  </si>
  <si>
    <t xml:space="preserve">Proyectos extraordinarios: fondos restringidos al 31-dic-2026</t>
  </si>
  <si>
    <t xml:space="preserve">Extraordinary projects: restricted fund balances at Dec 31, 2026 (MXN)</t>
  </si>
  <si>
    <t xml:space="preserve">Montos aprobados en la Asamblea del 21-mar-2026; costos totales según el Tesorero (nov-2026). / Approved amounts per the Mar 21, 2026 Assembly; total costs per the Treasurer (Nov 2026).</t>
  </si>
  <si>
    <t xml:space="preserve">Proyecto
Project</t>
  </si>
  <si>
    <t xml:space="preserve">Monto aprobado
Approved amount</t>
  </si>
  <si>
    <t xml:space="preserve">Costo total 2026
Total 2026 cost</t>
  </si>
  <si>
    <t xml:space="preserve">Recaudado ene–sep
Collected Jan–Sep</t>
  </si>
  <si>
    <t xml:space="preserve">Recaudación oct–dic
Collections Oct–Dec (proj.)</t>
  </si>
  <si>
    <t xml:space="preserve">Recaudado 2026
Collected 2026</t>
  </si>
  <si>
    <t xml:space="preserve">% recaudado
% of approved</t>
  </si>
  <si>
    <t xml:space="preserve">Aplicado ene–sep
Applied Jan–Sep</t>
  </si>
  <si>
    <t xml:space="preserve">Por ejercer oct–dic
To spend Oct–Dec</t>
  </si>
  <si>
    <t xml:space="preserve">Aplicado 2026
Applied 2026</t>
  </si>
  <si>
    <t xml:space="preserve">Saldo del fondo 31-dic
Fund balance Dec 31</t>
  </si>
  <si>
    <t xml:space="preserve">Cuota aprobada por cobrar
Approved assessment still to collect</t>
  </si>
  <si>
    <t xml:space="preserve">Costo no cubierto por la cuota
Cost not covered by assessment</t>
  </si>
  <si>
    <t xml:space="preserve">Registro contable
Accounting treatment</t>
  </si>
  <si>
    <t xml:space="preserve">Saldo 30-sep
Balance Sep 30</t>
  </si>
  <si>
    <t xml:space="preserve">Recaudación base oct–dic
Base Oct–Dec collections</t>
  </si>
  <si>
    <t xml:space="preserve">Pendiente antes de aceleración
Pending before acceleration</t>
  </si>
  <si>
    <t xml:space="preserve">Cobranza adicional (aceleración)
Additional collections</t>
  </si>
  <si>
    <t xml:space="preserve">Barrera contra el sargazo
Sargassum barrier</t>
  </si>
  <si>
    <t xml:space="preserve">Activo fijo (capitalizado) / Fixed asset</t>
  </si>
  <si>
    <t xml:space="preserve">Centro Cultural
Cultural Center</t>
  </si>
  <si>
    <t xml:space="preserve">Gasto en resultados / Expensed</t>
  </si>
  <si>
    <t xml:space="preserve">Ciclovía Fase 2
Bike path Phase 2</t>
  </si>
  <si>
    <t xml:space="preserve">Acceso principal / Caseta de seguridad
Main gate / Security gatehouse</t>
  </si>
  <si>
    <t xml:space="preserve">Coral Puerto Recovery (comité vecinal)
Neighborhood committee</t>
  </si>
  <si>
    <t xml:space="preserve">Notas / Notes</t>
  </si>
  <si>
    <t xml:space="preserve">• Supuestos del Tesorero (nov-2026): todos los proyectos se concluyen dentro de 2026 conforme a su costo total; el acceso principal llega a 1,450,000 en inversión total; la barrera suma 6,620,000.</t>
  </si>
  <si>
    <t xml:space="preserve">  Treasurer's assumptions (Nov 2026): all projects finish in 2026 at their total cost; the main gate reaches 1,450,000 total; the barrier totals 6,620,000.</t>
  </si>
  <si>
    <t xml:space="preserve">• Centro Cultural: lo aplicado incluye 156,132 registrados en la cuenta ordinaria 'Reparación y mtto Centro Cultural' (mar–abr).</t>
  </si>
  <si>
    <t xml:space="preserve">  Cultural Center: applied includes 156,132 booked to the ordinary account 'Reparación y mtto Centro Cultural' (Mar–Apr).</t>
  </si>
  <si>
    <t xml:space="preserve">• Recaudación oct–dic: cobranza de jul–sep × factor de decaimiento (hoja Supuestos). La cuota aprobada por cobrar al 31-dic podría recuperarse en 2027.</t>
  </si>
  <si>
    <t xml:space="preserve">  Oct–Dec collections: Jul–Sep collections × decay factor (Assumptions). Approved assessment still to collect at Dec 31 may be recovered in 2027.</t>
  </si>
  <si>
    <t xml:space="preserve">• Aceleración de cobranza (Supuestos): se suma en dic y se reparte en proporción a lo pendiente de cada cuota aprobada; nunca excede lo pendiente.</t>
  </si>
  <si>
    <t xml:space="preserve">  Collection acceleration (Assumptions): added in Dec, split pro rata to each approved assessment's pending balance; never exceeds what is pending.</t>
  </si>
  <si>
    <t xml:space="preserve">• Un saldo negativo significa que el proyecto se está financiando temporalmente con recursos de la operación ordinaria.</t>
  </si>
  <si>
    <t xml:space="preserve">  A negative balance means the project is temporarily funded from ordinary operating resources.</t>
  </si>
  <si>
    <t xml:space="preserve">• Sargazo: la cuota de mantenimiento de la barrera (ingreso ordinario desde jun-2026) no se incluye en este fondo, igual que en los reportes mensuales.</t>
  </si>
  <si>
    <t xml:space="preserve">  Sargassum: the barrier maintenance fee (ordinary income since Jun 2026) is not part of this fund, consistent with monthly reports.</t>
  </si>
  <si>
    <t xml:space="preserve">Liquidez y reserva al 31-dic-2026 (proyección)</t>
  </si>
  <si>
    <t xml:space="preserve">Liquidity and reserve at Dec 31, 2026 (projected, MXN)</t>
  </si>
  <si>
    <t xml:space="preserve">Saldos al 30-sep según 04 Estado de Posición Financiera a Detalle (sep-2026). / Sep 30 balances per the Sep 2026 balance sheet.</t>
  </si>
  <si>
    <t xml:space="preserve">A. Caja e inversiones al 30-sep-2026 / Cash and investments at Sep 30</t>
  </si>
  <si>
    <t xml:space="preserve">MXN</t>
  </si>
  <si>
    <t xml:space="preserve">BBVA Bancomer 806 (Cuotas)</t>
  </si>
  <si>
    <t xml:space="preserve">BBVA Bancomer 360 (Fondo de Ahorro)</t>
  </si>
  <si>
    <t xml:space="preserve">BBVA Bancomer 8643 (Nómina)</t>
  </si>
  <si>
    <t xml:space="preserve">CI Casa de Bolsa</t>
  </si>
  <si>
    <t xml:space="preserve">BBVA Bancomer 268 USD</t>
  </si>
  <si>
    <t xml:space="preserve">BBVA Bancomer 268 USD complementaria</t>
  </si>
  <si>
    <t xml:space="preserve">Actinver MN</t>
  </si>
  <si>
    <t xml:space="preserve">Actinver USD</t>
  </si>
  <si>
    <t xml:space="preserve">Actinver USD complementaria</t>
  </si>
  <si>
    <t xml:space="preserve">Total caja e inversiones / Total cash and investments</t>
  </si>
  <si>
    <t xml:space="preserve">Pasivo total / Total liabilities</t>
  </si>
  <si>
    <t xml:space="preserve">   de los cuales: Ahorro de los trabajadores / of which: employee savings fund</t>
  </si>
  <si>
    <t xml:space="preserve">   de los cuales: Depósitos por construcción / of which: construction deposits</t>
  </si>
  <si>
    <t xml:space="preserve">B. Reserva / Reserve</t>
  </si>
  <si>
    <t xml:space="preserve">30-sep-2026
Real</t>
  </si>
  <si>
    <t xml:space="preserve">31-dic-2026
Proyectado</t>
  </si>
  <si>
    <t xml:space="preserve">Recursos propios (caja e inversiones − pasivo total)</t>
  </si>
  <si>
    <t xml:space="preserve">Own resources (cash − total liabilities)</t>
  </si>
  <si>
    <t xml:space="preserve">  + Remanente oct–dic</t>
  </si>
  <si>
    <t xml:space="preserve">  + Oct–Dec surplus (deficit)</t>
  </si>
  <si>
    <t xml:space="preserve">  + Depreciación oct–dic (no es salida de efectivo)</t>
  </si>
  <si>
    <t xml:space="preserve">  + Oct–Dec depreciation (non-cash)</t>
  </si>
  <si>
    <t xml:space="preserve">  − Inversión adicional en la barrera (oct–dic)</t>
  </si>
  <si>
    <t xml:space="preserve">  − Additional barrier investment (Oct–Dec)</t>
  </si>
  <si>
    <t xml:space="preserve">Saldos positivos de fondos restringidos</t>
  </si>
  <si>
    <t xml:space="preserve">Positive restricted fund balances</t>
  </si>
  <si>
    <t xml:space="preserve">Saldos negativos (proyectos financiados con recursos ordinarios)</t>
  </si>
  <si>
    <t xml:space="preserve">Negative balances (projects funded by ordinary resources)</t>
  </si>
  <si>
    <t xml:space="preserve">Net restricted fund balance</t>
  </si>
  <si>
    <t xml:space="preserve">Reserva no comprometida (método de los reportes mensuales)</t>
  </si>
  <si>
    <t xml:space="preserve">Reserva libre efectiva (descontando lo prestado a proyectos)</t>
  </si>
  <si>
    <t xml:space="preserve">Effective free reserve (net of advances to projects)</t>
  </si>
  <si>
    <t xml:space="preserve">Reserva libre si se cobran las cuotas aprobadas pendientes</t>
  </si>
  <si>
    <t xml:space="preserve">Free reserve once pending approved assessments are collected</t>
  </si>
  <si>
    <t xml:space="preserve">Gasto ordinario mensual promedio (sin depreciación)</t>
  </si>
  <si>
    <t xml:space="preserve">Average monthly ordinary cash expense</t>
  </si>
  <si>
    <t xml:space="preserve">Meses de gasto cubiertos — reserva no comprometida</t>
  </si>
  <si>
    <t xml:space="preserve">Months covered — uncommitted reserve</t>
  </si>
  <si>
    <t xml:space="preserve">Months covered — effective free reserve</t>
  </si>
  <si>
    <t xml:space="preserve">Meses de gasto cubiertos — tras cobrar cuotas aprobadas pendientes</t>
  </si>
  <si>
    <t xml:space="preserve">Months covered — after collecting pending approved assessments</t>
  </si>
  <si>
    <t xml:space="preserve">C. Caja bruta estimada al 31-dic / Estimated gross cash at Dec 31</t>
  </si>
  <si>
    <t xml:space="preserve">Pasivo estimado al 31-dic (pago anual del fondo de ahorro en dic; nuevo ciclo inicia)</t>
  </si>
  <si>
    <t xml:space="preserve">Estimated liabilities at Dec 31 (annual savings-fund payout in Dec; new cycle starts)</t>
  </si>
  <si>
    <t xml:space="preserve">Caja e inversiones estimadas al 31-dic</t>
  </si>
  <si>
    <t xml:space="preserve">Estimated cash and investments at Dec 31</t>
  </si>
  <si>
    <t xml:space="preserve">• Recursos propios = caja e inversiones − pasivo total; excluye préstamos a empleados y otros deudores (mismo criterio de los reportes mensuales).</t>
  </si>
  <si>
    <t xml:space="preserve">  Own resources = cash and investments − total liabilities; excludes employee loans and other receivables (same basis as monthly reports).</t>
  </si>
  <si>
    <t xml:space="preserve">• La reserva no comprometida trata los saldos negativos de proyectos como recuperables; la reserva libre efectiva los trata como ya consumidos.</t>
  </si>
  <si>
    <t xml:space="preserve">  The uncommitted reserve treats negative project balances as recoverable; the effective free reserve treats them as already consumed.</t>
  </si>
  <si>
    <t xml:space="preserve">• El pago anual del fondo de ahorro reduce caja y pasivo por el mismo monto: no cambia los recursos propios.</t>
  </si>
  <si>
    <t xml:space="preserve">  The annual savings-fund payout reduces cash and liabilities equally: own resources are unchanged.</t>
  </si>
  <si>
    <t xml:space="preserve">Supuestos de la proyección</t>
  </si>
  <si>
    <t xml:space="preserve">Projection assumptions</t>
  </si>
  <si>
    <t xml:space="preserve">Celdas en azul = datos de entrada editables; fondo amarillo = supuestos clave. / Blue = editable inputs; yellow = key assumptions.</t>
  </si>
  <si>
    <t xml:space="preserve">Valor / Value</t>
  </si>
  <si>
    <t xml:space="preserve">Fuente o nota</t>
  </si>
  <si>
    <t xml:space="preserve">Source or note</t>
  </si>
  <si>
    <t xml:space="preserve">Costo mensual seguridad subcontratada</t>
  </si>
  <si>
    <t xml:space="preserve">Monthly subcontracted security cost</t>
  </si>
  <si>
    <t xml:space="preserve">Estado de resultados sep-2026: costo constante jun–sep</t>
  </si>
  <si>
    <t xml:space="preserve">Sep 2026 income statement: flat Jun–Sep</t>
  </si>
  <si>
    <t xml:space="preserve">Renta mensual (arrendamiento)</t>
  </si>
  <si>
    <t xml:space="preserve">Monthly rent income</t>
  </si>
  <si>
    <t xml:space="preserve">Draft Presupuesto 2026, nota del renglón Arrendamiento</t>
  </si>
  <si>
    <t xml:space="preserve">Draft 2026 budget, rent line note</t>
  </si>
  <si>
    <t xml:space="preserve">Reembolso mensual de gastos del arrendatario</t>
  </si>
  <si>
    <t xml:space="preserve">Monthly tenant expense reimbursement</t>
  </si>
  <si>
    <t xml:space="preserve">Draft Presupuesto 2026: 8,543.33 mtto + 4,880.42 energía</t>
  </si>
  <si>
    <t xml:space="preserve">Draft 2026 budget: 8,543.33 fees + 4,880.42 power</t>
  </si>
  <si>
    <t xml:space="preserve">Factor de decaimiento de cobranza de cuotas extraordinarias (trim. vs trim. anterior)</t>
  </si>
  <si>
    <t xml:space="preserve">Extraordinary assessment collection decay (quarter over prior quarter)</t>
  </si>
  <si>
    <t xml:space="preserve">Calculado: cobranza jul–sep ÷ abr–jun de Centro Cultural, Caseta y Ciclovía</t>
  </si>
  <si>
    <t xml:space="preserve">Computed: Jul–Sep ÷ Apr–Jun collections for Cultural Center, Gatehouse and Bike path</t>
  </si>
  <si>
    <t xml:space="preserve">Impuesto sobre nóminas Quintana Roo</t>
  </si>
  <si>
    <t xml:space="preserve">Quintana Roo payroll tax</t>
  </si>
  <si>
    <t xml:space="preserve">Tasa 2026</t>
  </si>
  <si>
    <t xml:space="preserve">2026 rate</t>
  </si>
  <si>
    <t xml:space="preserve">Días por mes (salario diario × 30.4)</t>
  </si>
  <si>
    <t xml:space="preserve">Days per month (daily wage × 30.4)</t>
  </si>
  <si>
    <t xml:space="preserve">Draft Presupuesto 2026, hoja Proy Nomina 2026</t>
  </si>
  <si>
    <t xml:space="preserve">Draft 2026 budget, payroll sheet</t>
  </si>
  <si>
    <t xml:space="preserve">Días de aguinaldo — personal operativo</t>
  </si>
  <si>
    <t xml:space="preserve">Christmas bonus days — operating staff</t>
  </si>
  <si>
    <t xml:space="preserve">Política del presupuesto: 30 admon / 17 ops</t>
  </si>
  <si>
    <t xml:space="preserve">Budget policy: 30 admin / 17 ops</t>
  </si>
  <si>
    <t xml:space="preserve">Días de aguinaldo — personal administrativo y gerencias</t>
  </si>
  <si>
    <t xml:space="preserve">Christmas bonus days — admin &amp; managers</t>
  </si>
  <si>
    <t xml:space="preserve">Honorarios auditoría 2026 JA Del Río (antes de IVA)</t>
  </si>
  <si>
    <t xml:space="preserve">2026 audit fee JA Del Río (before VAT)</t>
  </si>
  <si>
    <t xml:space="preserve">Carta compromiso JA Del Río, sep-2026</t>
  </si>
  <si>
    <t xml:space="preserve">JA Del Río engagement letter, Sep 2026</t>
  </si>
  <si>
    <t xml:space="preserve">IVA</t>
  </si>
  <si>
    <t xml:space="preserve">VAT</t>
  </si>
  <si>
    <t xml:space="preserve">Porcentaje pagadero a la aceptación</t>
  </si>
  <si>
    <t xml:space="preserve">Share payable on acceptance</t>
  </si>
  <si>
    <t xml:space="preserve">Carta compromiso: 50% / 30% / 20%; el 30% y 20% caen en 2027</t>
  </si>
  <si>
    <t xml:space="preserve">Engagement letter: 50/30/20; 30% and 20% fall in 2027</t>
  </si>
  <si>
    <t xml:space="preserve">Anticipo de auditoría en oct-2026</t>
  </si>
  <si>
    <t xml:space="preserve">Audit advance in Oct 2026</t>
  </si>
  <si>
    <t xml:space="preserve">Calculado</t>
  </si>
  <si>
    <t xml:space="preserve">Computed</t>
  </si>
  <si>
    <t xml:space="preserve">Renovación anual seguro de responsabilidad civil (oct)</t>
  </si>
  <si>
    <t xml:space="preserve">Annual liability insurance renewal (Oct)</t>
  </si>
  <si>
    <t xml:space="preserve">Mismo monto que oct-2025 (oct-2024: 43,462)</t>
  </si>
  <si>
    <t xml:space="preserve">Same as Oct 2025 (Oct 2024: 43,462)</t>
  </si>
  <si>
    <t xml:space="preserve">Renovación seguros de vehículos — nov</t>
  </si>
  <si>
    <t xml:space="preserve">Vehicle insurance renewals — Nov</t>
  </si>
  <si>
    <t xml:space="preserve">Mismo monto que nov-2025</t>
  </si>
  <si>
    <t xml:space="preserve">Same as Nov 2025</t>
  </si>
  <si>
    <t xml:space="preserve">Renovación seguros de vehículos — dic</t>
  </si>
  <si>
    <t xml:space="preserve">Vehicle insurance renewals — Dec</t>
  </si>
  <si>
    <t xml:space="preserve">Mismo monto que dic-2025</t>
  </si>
  <si>
    <t xml:space="preserve">Same as Dec 2025</t>
  </si>
  <si>
    <t xml:space="preserve">Uniformes oct-dic</t>
  </si>
  <si>
    <t xml:space="preserve">Uniforms Oct–Dec</t>
  </si>
  <si>
    <t xml:space="preserve">Mismo monto que oct-2025</t>
  </si>
  <si>
    <t xml:space="preserve">Same as Oct 2025</t>
  </si>
  <si>
    <t xml:space="preserve">Tasa anual de depreciación de la barrera</t>
  </si>
  <si>
    <t xml:space="preserve">Barrier annual depreciation rate</t>
  </si>
  <si>
    <t xml:space="preserve">Tasa aplicada desde jun-2026 (40,647/mes sobre 4,877,637)</t>
  </si>
  <si>
    <t xml:space="preserve">Rate applied since Jun 2026</t>
  </si>
  <si>
    <t xml:space="preserve">Meses de depreciación en 2026 de la inversión adicional en barrera</t>
  </si>
  <si>
    <t xml:space="preserve">Months of 2026 depreciation on the additional barrier investment</t>
  </si>
  <si>
    <t xml:space="preserve">Supone puesta en servicio en dic-2026</t>
  </si>
  <si>
    <t xml:space="preserve">Assumes placed in service Dec 2026</t>
  </si>
  <si>
    <t xml:space="preserve">Cobranza adicional de hoteles: cuotas del 2º y 3er trimestre 2026 adeudadas (registrada en dic)</t>
  </si>
  <si>
    <t xml:space="preserve">Additional hotel collections: unpaid Q2–Q3 2026 fees (booked in Dec)</t>
  </si>
  <si>
    <t xml:space="preserve">Tesorero (nov-2026): gestión de cobranza en curso; hoteles facturados ~4.65 M en el año con ~50% pagado. Va a Cuotas de Mantto Propiedad (periodo 2026), no a Atrasadas</t>
  </si>
  <si>
    <t xml:space="preserve">Treasurer (Nov 2026): collection effort under way; hotels billed ~4.65M this year, ~50% paid. Goes to Property fees (2026 periods), not Arrears</t>
  </si>
  <si>
    <t xml:space="preserve">Cobranza adicional de cuotas extraordinarias en oct–dic (aceleración, registrada en dic)</t>
  </si>
  <si>
    <t xml:space="preserve">Additional extraordinary-assessment collections Oct–Dec (acceleration, booked in Dec)</t>
  </si>
  <si>
    <t xml:space="preserve">Tesorero (nov-2026): mínimo adicional; se reparte en proporción al saldo pendiente de cada cuota aprobada (hoja Proyectos)</t>
  </si>
  <si>
    <t xml:space="preserve">Treasurer (Nov 2026): minimum additional; split pro rata to each approved assessment's pending balance (Projects sheet)</t>
  </si>
  <si>
    <t xml:space="preserve">Aportación mensual al fondo de ahorro (empresa + trabajador)</t>
  </si>
  <si>
    <t xml:space="preserve">Monthly savings-fund contribution (employer + employee)</t>
  </si>
  <si>
    <t xml:space="preserve">Aumento mensual del pasivo ago–sep 2026</t>
  </si>
  <si>
    <t xml:space="preserve">Monthly liability increase Aug–Sep 2026</t>
  </si>
  <si>
    <t xml:space="preserve">Presupuesto 2026 aprobado (gastos ordinarios)</t>
  </si>
  <si>
    <t xml:space="preserve">Approved 2026 budget (ordinary operation)</t>
  </si>
  <si>
    <t xml:space="preserve">Fuente: Draft_Presupuesto_2026_v2_251118.xlsx, hoja 'Draft del Presupuesto 2026', columna G; coincide con la versión aprobada en la Asamblea del 21-mar-2026 (seguridad 10.8 M; depreciación 1,337,386).</t>
  </si>
  <si>
    <t xml:space="preserve">Cuenta en presupuesto / Budget account</t>
  </si>
  <si>
    <t xml:space="preserve">Cuenta en el modelo / Model account</t>
  </si>
  <si>
    <t xml:space="preserve">Grupo / Group</t>
  </si>
  <si>
    <t xml:space="preserve">Presupuesto 2026 (MXN)</t>
  </si>
  <si>
    <t xml:space="preserve">Nota del presupuesto / Budget note</t>
  </si>
  <si>
    <t xml:space="preserve">Incremento inflacionario de 6.0% desde Feb 2024 de llaves al corriente (proyectadas)</t>
  </si>
  <si>
    <t xml:space="preserve">Contempla la recuperacion de cuentas en mora de hasta 8 trimestres según reporte anexo</t>
  </si>
  <si>
    <t xml:space="preserve">Existen actualmente 2 proyectos que planean iniciar construccion en 2026 con un total de 830.4 metros cuadrados con un pago de 12,189.68 USD</t>
  </si>
  <si>
    <t xml:space="preserve">Este ingreso equivale a la venta de 50,000 anuales, la construccion tiene 50 semanas de avtividad al año lo que nos arroja un promedio de 1,000 brazaletes vendidos por semana</t>
  </si>
  <si>
    <t xml:space="preserve">Entre venta de pasaportes de Propietarios y residentes se espera producir 1,250 @ 300.00 pesos la unidad mas 2,500 unidades para empleados peatonales @ 150.00 pesos la unidad</t>
  </si>
  <si>
    <t xml:space="preserve">Ingreso no presupuestable por la inconsistencia de la actividad </t>
  </si>
  <si>
    <t xml:space="preserve">La renta mensual es de 57200 de renta,  </t>
  </si>
  <si>
    <t xml:space="preserve">Los reembolsos de arrendamiento son por 8,543.33 de cuota de mtto mensual y 4,880.42 de Consumo de energia Electrica</t>
  </si>
  <si>
    <t xml:space="preserve">Total ingresos presupuestados / Budgeted income</t>
  </si>
  <si>
    <t xml:space="preserve">Otros Conceptos Depto. Seguridad</t>
  </si>
  <si>
    <t xml:space="preserve">Estamos previendo el costo actual por servicios mas 5% de incremento en el costo de estos</t>
  </si>
  <si>
    <t xml:space="preserve">Actualmente tenemos una facturacion promedio de 55,000 pesos, incluye combustible para camiones, motocicletas, maquina trituradora, termonebulizadora y equipo de poda</t>
  </si>
  <si>
    <t xml:space="preserve">En este renglon se inlcuyen los contratos de CFE dedicados al alumbrado publico, se espera un incremento por la incorporacion de los servicios de plano 4 y la nueva red de alumbrado</t>
  </si>
  <si>
    <t xml:space="preserve">Ajustamos el monto dedicado a este renglon en funcion al exceso de gastos en que se incurrio a inicio de año como resultado de la limpieza de la basura ocasionada por el huracan Beryl y los predios del Zapote</t>
  </si>
  <si>
    <t xml:space="preserve">Estan calculadas en base al contrato colectivo</t>
  </si>
  <si>
    <t xml:space="preserve">Se provisiona para cubrir las necesidades de compra de materiales utilizzados en el mantenimiento de las areas comunes y edificios, asi como la reposicion de equipos de bombeo, y partes electricas de los edificios.</t>
  </si>
  <si>
    <t xml:space="preserve">Mano de obra por el periodo de 1 de Abril al 15 de Dic. Mas compra de tyson y vecto bac</t>
  </si>
  <si>
    <t xml:space="preserve">El gasto de este año incluye la inversion en luminarias para plano y para el 2026 solo se contempla l</t>
  </si>
  <si>
    <t xml:space="preserve">Se plantea el reemplazo de tres plumas y sus mecanismos a razon de 40,000 pesos por pieza</t>
  </si>
  <si>
    <t xml:space="preserve">El equipo se encuentra fuera de garantia por lo que la reposicion de componentes es a costo de la asociacion</t>
  </si>
  <si>
    <t xml:space="preserve">Los mantenimientos son en la agencia por la edad de los vehiculos y se provsiona un 25% adicional para cubrir componenetes que puedieran no estar en la cobertura de la poliza</t>
  </si>
  <si>
    <t xml:space="preserve">Mantto Calles y Avenidas</t>
  </si>
  <si>
    <t xml:space="preserve">600k para pavimentación, reposicion y reparacion de tapas de alcantarillas, y registros de pozos de absorcion, asi como el desdasolve de los pozos de absorcion</t>
  </si>
  <si>
    <t xml:space="preserve">Para la adquisicion de consumibles para la operación de los equipos de mantenimiento y suministros de proteccion para los empleados</t>
  </si>
  <si>
    <t xml:space="preserve">Se reduce en un 50%, aquí entran los costos de mantenimiento del equipo de poda, generacion electrica, y equipo de taller</t>
  </si>
  <si>
    <t xml:space="preserve">Para compra de bolsas, sacos, escobas, y demoas materiales para jardineria.</t>
  </si>
  <si>
    <t xml:space="preserve">Para la compra de materiales petreos, cemento, varilla y agregados para la produccion de tapas y reparacion de andadores y guarniciones</t>
  </si>
  <si>
    <t xml:space="preserve">Señalizacion Calles y Avenidas</t>
  </si>
  <si>
    <t xml:space="preserve">El gasto actual incluye la inversion en la ciclo via, este proyecto no sera recurrente solo su mantenimiento y la compra de señalizacion adicional para el control de trafico</t>
  </si>
  <si>
    <t xml:space="preserve">Se incluyenb reparaciones al edificio y jardineras, asi como carriles de acceso</t>
  </si>
  <si>
    <t xml:space="preserve">Cuota Basura Municipal</t>
  </si>
  <si>
    <t xml:space="preserve">El costo de recoleccion de basura esta incluido en el predial</t>
  </si>
  <si>
    <t xml:space="preserve">Para adquisicion de inventario de tarjetas y cintas de impresión</t>
  </si>
  <si>
    <t xml:space="preserve">Calzado 80,0000, uniformes (2 juegos por empleado) 263,000, y administracion 30,0000</t>
  </si>
  <si>
    <t xml:space="preserve">Para reposicion de inventario, se prevee baja actividad de construccion para el 2026</t>
  </si>
  <si>
    <t xml:space="preserve">Se provisiona un incremento en las cuotas de 5%, un punto porcentual sobre la inflacion</t>
  </si>
  <si>
    <t xml:space="preserve">Costo mensual del servicio de 29,000 pesos, IVA INCLUIDO</t>
  </si>
  <si>
    <t xml:space="preserve">Se llevara a cabo la auditoria de la Asoc. de Col. Unicamente</t>
  </si>
  <si>
    <t xml:space="preserve">Invcluye el pago de la renta de equipo de impresión, pago de aplicación Residentia y papeleria diversa para tres oficinas</t>
  </si>
  <si>
    <t xml:space="preserve">Seguros de cobertura amplia para los camiones y motocicletas</t>
  </si>
  <si>
    <t xml:space="preserve">Servicios electricos de dos oficinas y el acceso principal</t>
  </si>
  <si>
    <t xml:space="preserve">Incluye el costo de protocolizacion del acta de asamblea y asesoria legal cuando se requiera para responder requerimientos de las autoridades judiciales principalmente</t>
  </si>
  <si>
    <t xml:space="preserve">no se tienen reparaciones programadas para este tipo de equipo se provisiona para responder a eventualidades</t>
  </si>
  <si>
    <t xml:space="preserve">Este año se realizaron 2 asambleas generales y dos town hall meetings, para 2026 de provisiona para una asamblea general y dos town hall meetings</t>
  </si>
  <si>
    <t xml:space="preserve">Incluye el pago de Gignet por red dedicada para CCTV por 210,000 anuales, servicio de internet de gignet por 12,000 anuales, telmex 32,000 anuales y recargas a celulares por 44,400</t>
  </si>
  <si>
    <t xml:space="preserve">Poliza de seguro para empleados</t>
  </si>
  <si>
    <t xml:space="preserve">Ante el posible incremento de los valores catastrales se provisioina un 100% mas que el añoa anterior</t>
  </si>
  <si>
    <t xml:space="preserve">Según el costo de Hacienda Estatal</t>
  </si>
  <si>
    <t xml:space="preserve">Envios y Paqueteria</t>
  </si>
  <si>
    <t xml:space="preserve">Arrendamiento Oficina</t>
  </si>
  <si>
    <t xml:space="preserve">mantenimiento de Palapas</t>
  </si>
  <si>
    <t xml:space="preserve">Total egresos presupuestados (antes de depreciación) / Budgeted expenses (before depreciation)</t>
  </si>
  <si>
    <t xml:space="preserve">Remanente presupuestado / Budgeted surplus</t>
  </si>
  <si>
    <t xml:space="preserve">Control vs. Asamblea 21-mar-2026 (ingresos 39,510,691; egresos 38,143,674; remanente 29,631)</t>
  </si>
  <si>
    <t xml:space="preserve">Debe ser 0 / Must be 0</t>
  </si>
  <si>
    <t xml:space="preserve">Nota: los reportes mensuales de 2026 compararon contra la versión de nov-2025 (seguridad 10.3 M = 858,333/mes; depreciación 900,000). Esta proyección usa la versión aprobada en Asamblea.</t>
  </si>
  <si>
    <t xml:space="preserve">Note: 2026 monthly reports compared against the Nov 2025 version (security 10.3M; depreciation 900,000). This projection uses the Assembly-approved version.</t>
  </si>
  <si>
    <t xml:space="preserve">Gastos adicionales de mantenimiento, 4º trimestre 2026 (Tesorero)</t>
  </si>
  <si>
    <t xml:space="preserve">Additional Q4 2026 maintenance spending (Treasurer: Gastos_mtto_finde_a_o_2026.xlsx + paving and lighting added Nov 4)</t>
  </si>
  <si>
    <t xml:space="preserve">Se suman en diciembre a la cuenta indicada, además del gasto recurrente proyectado. / Added in December to the mapped account, on top of the projected run-rate.</t>
  </si>
  <si>
    <t xml:space="preserve">Categoría / Category</t>
  </si>
  <si>
    <t xml:space="preserve">Concepto / Items</t>
  </si>
  <si>
    <t xml:space="preserve">Monto / Amount (MXN)</t>
  </si>
  <si>
    <t xml:space="preserve">Cuenta asignada / Mapped account</t>
  </si>
  <si>
    <t xml:space="preserve">Material general</t>
  </si>
  <si>
    <t xml:space="preserve">Cemento gris, sonotubo 6" y 8", alambre recocido, clavos, tuboflex, malla electrosoldada, tubo PVC</t>
  </si>
  <si>
    <t xml:space="preserve">Material camión #17</t>
  </si>
  <si>
    <t xml:space="preserve">Bomba gasolina, cable automotriz, pasta automotriz, brocapunta, calaveras</t>
  </si>
  <si>
    <t xml:space="preserve">Material astilladora</t>
  </si>
  <si>
    <t xml:space="preserve">Filtros aire/aceite/diesel, aceite 20w50, limpieza de inyectores, banda</t>
  </si>
  <si>
    <t xml:space="preserve">Material motos</t>
  </si>
  <si>
    <t xml:space="preserve">Manija y clutch Suzuki/Italika, espejos, kit de arrastre</t>
  </si>
  <si>
    <t xml:space="preserve">Fumigación</t>
  </si>
  <si>
    <t xml:space="preserve">Fumigación 10 semanas, 30 días de nebulización, 2 colaboradores</t>
  </si>
  <si>
    <t xml:space="preserve">Taysol</t>
  </si>
  <si>
    <t xml:space="preserve">Foley</t>
  </si>
  <si>
    <t xml:space="preserve">Pintura</t>
  </si>
  <si>
    <t xml:space="preserve">Pintura blanca, verde, blanca de aceite, thinner 20 L</t>
  </si>
  <si>
    <t xml:space="preserve">Jardinería</t>
  </si>
  <si>
    <t xml:space="preserve">Escobas, tijeras estaqueras, limas, aceite 2 tiempos, bolsas 200 kg, manguera</t>
  </si>
  <si>
    <t xml:space="preserve">Remodelación acceso</t>
  </si>
  <si>
    <t xml:space="preserve">Plantas de acceso</t>
  </si>
  <si>
    <t xml:space="preserve">Material eléctrico</t>
  </si>
  <si>
    <t xml:space="preserve">Cable cal. 12 (100 m), fotocelda, cinta, guantes, cutter, lámparas MR16</t>
  </si>
  <si>
    <t xml:space="preserve">Material para conectar cámaras</t>
  </si>
  <si>
    <t xml:space="preserve">Cable cal. 12, 600 m (1,422.41 x 6)</t>
  </si>
  <si>
    <t xml:space="preserve">Pavimentación de vialidades</t>
  </si>
  <si>
    <t xml:space="preserve">Mantenimiento de calles (pavimentación), 4º trimestre — indicado por el Tesorero el 4-nov-2026</t>
  </si>
  <si>
    <t xml:space="preserve">Mantenimiento de iluminación (adicional)</t>
  </si>
  <si>
    <t xml:space="preserve">Mantenimiento adicional de alumbrado, 4º trimestre — indicado por el Tesorero el 4-nov-2026</t>
  </si>
  <si>
    <t xml:space="preserve">• Solo el primer renglón de cada categoría del archivo original tiene monto; los demás artículos se consideran incluidos en ese monto.</t>
  </si>
  <si>
    <t xml:space="preserve">  Only the first item of each category in the original file carries an amount; the remaining items are treated as included in it.</t>
  </si>
  <si>
    <t xml:space="preserve">• 'Plantas de acceso' (17,230) se registra como gasto ordinario de jardinería; si forma parte de los 1.45 M del acceso, muévalo al proyecto.</t>
  </si>
  <si>
    <t xml:space="preserve">  'Access plants' (17,230) is booked as ordinary landscaping; if it is part of the 1.45M gate project, move it there.</t>
  </si>
  <si>
    <t xml:space="preserve">• Pavimentación (530,000) va a 'Mantto. Calles y Avenidas', renglón cuyo presupuesto de 750,000 incluye 600,000 para pavimentación. El gasto de enero (191,000) quedó en 'Proyecto Integral de Repavimentación'.</t>
  </si>
  <si>
    <t xml:space="preserve">  Paving (530,000) is booked to 'Mantto. Calles y Avenidas', whose 750,000 budget includes 600,000 for paving. January's 191,000 sits in 'Proyecto Integral de Repavimentación'.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</si>
</sst>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0;\(#,##0\);\-"/>
    <numFmt numFmtId="166" formatCode="0.0%;\(0.0%\);\-"/>
    <numFmt numFmtId="167" formatCode="0.0"/>
    <numFmt numFmtId="168" formatCode="0"/>
    <numFmt numFmtId="169" formatCode="0.000"/>
  </numFmts>
  <fonts count="1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2C2182"/>
      <name val="Arial"/>
      <family val="0"/>
      <charset val="1"/>
    </font>
    <font>
      <i val="true"/>
      <sz val="10"/>
      <color rgb="FF808080"/>
      <name val="Arial"/>
      <family val="0"/>
      <charset val="1"/>
    </font>
    <font>
      <i val="true"/>
      <sz val="8"/>
      <color rgb="FF808080"/>
      <name val="Arial"/>
      <family val="0"/>
      <charset val="1"/>
    </font>
    <font>
      <b val="true"/>
      <sz val="9"/>
      <color rgb="FFFFFFFF"/>
      <name val="Arial"/>
      <family val="0"/>
      <charset val="1"/>
    </font>
    <font>
      <b val="true"/>
      <sz val="9"/>
      <color rgb="FF2C2182"/>
      <name val="Arial"/>
      <family val="0"/>
      <charset val="1"/>
    </font>
    <font>
      <sz val="9"/>
      <name val="Arial"/>
      <family val="0"/>
      <charset val="1"/>
    </font>
    <font>
      <sz val="9"/>
      <color rgb="FF008000"/>
      <name val="Arial"/>
      <family val="0"/>
      <charset val="1"/>
    </font>
    <font>
      <b val="true"/>
      <sz val="9"/>
      <name val="Arial"/>
      <family val="0"/>
      <charset val="1"/>
    </font>
    <font>
      <i val="true"/>
      <sz val="8"/>
      <color rgb="FFFFFFFF"/>
      <name val="Arial"/>
      <family val="0"/>
      <charset val="1"/>
    </font>
    <font>
      <sz val="9"/>
      <color rgb="FF0000FF"/>
      <name val="Arial"/>
      <family val="0"/>
      <charset val="1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2C2182"/>
        <bgColor rgb="FF003366"/>
      </patternFill>
    </fill>
    <fill>
      <patternFill patternType="solid">
        <fgColor rgb="FF318A8D"/>
        <bgColor rgb="FF008080"/>
      </patternFill>
    </fill>
    <fill>
      <patternFill patternType="solid">
        <fgColor rgb="FFE9E1D0"/>
        <bgColor rgb="FFF3EFE6"/>
      </patternFill>
    </fill>
    <fill>
      <patternFill patternType="solid">
        <fgColor rgb="FFEAF4F4"/>
        <bgColor rgb="FFF3EFE6"/>
      </patternFill>
    </fill>
    <fill>
      <patternFill patternType="solid">
        <fgColor rgb="FFFFFF00"/>
        <bgColor rgb="FFFFFF00"/>
      </patternFill>
    </fill>
    <fill>
      <patternFill patternType="solid">
        <fgColor rgb="FFF3EFE6"/>
        <bgColor rgb="FFEAF4F4"/>
      </patternFill>
    </fill>
  </fills>
  <borders count="3">
    <border diagonalUp="false" diagonalDown="false">
      <left/>
      <right/>
      <top/>
      <bottom/>
      <diagonal/>
    </border>
    <border diagonalUp="false" diagonalDown="false">
      <left/>
      <right/>
      <top style="thin">
        <color rgb="FF999999"/>
      </top>
      <bottom/>
      <diagonal/>
    </border>
    <border diagonalUp="false" diagonalDown="false">
      <left/>
      <right/>
      <top style="thin">
        <color rgb="FF999999"/>
      </top>
      <bottom style="double">
        <color rgb="FF999999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0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1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1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1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10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3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9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7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7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1" fillId="7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1" fillId="7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7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7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1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13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9" fontId="10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3EFE6"/>
      <rgbColor rgb="FFEAF4F4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E9E1D0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18A8D"/>
      <rgbColor rgb="FF003300"/>
      <rgbColor rgb="FF333300"/>
      <rgbColor rgb="FF993300"/>
      <rgbColor rgb="FF993366"/>
      <rgbColor rgb="FF2C2182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comments" Target="../comments4.xml"/><Relationship Id="rId2" Type="http://schemas.openxmlformats.org/officeDocument/2006/relationships/vmlDrawing" Target="../drawings/vmlDrawing2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2C2182"/>
    <pageSetUpPr fitToPage="true"/>
  </sheetPr>
  <dimension ref="A1:H68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2" ySplit="5" topLeftCell="C6" activePane="bottomRight" state="frozen"/>
      <selection pane="topLeft" activeCell="A1" activeCellId="0" sqref="A1"/>
      <selection pane="topRight" activeCell="C1" activeCellId="0" sqref="C1"/>
      <selection pane="bottomLeft" activeCell="A6" activeCellId="0" sqref="A6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0"/>
    <col collapsed="false" customWidth="true" hidden="false" outlineLevel="0" max="2" min="2" style="0" width="42"/>
    <col collapsed="false" customWidth="true" hidden="false" outlineLevel="0" max="4" min="3" style="0" width="15"/>
    <col collapsed="false" customWidth="true" hidden="false" outlineLevel="0" max="6" min="5" style="0" width="16"/>
    <col collapsed="false" customWidth="true" hidden="false" outlineLevel="0" max="7" min="7" style="0" width="14"/>
    <col collapsed="false" customWidth="true" hidden="false" outlineLevel="0" max="8" min="8" style="0" width="13"/>
  </cols>
  <sheetData>
    <row r="1" customFormat="false" ht="17.3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3" customFormat="false" ht="15" hidden="false" customHeight="false" outlineLevel="0" collapsed="false">
      <c r="A3" s="3" t="s">
        <v>2</v>
      </c>
    </row>
    <row r="5" customFormat="false" ht="30" hidden="false" customHeight="true" outlineLevel="0" collapsed="false">
      <c r="A5" s="4" t="s">
        <v>3</v>
      </c>
      <c r="B5" s="4" t="s">
        <v>4</v>
      </c>
      <c r="C5" s="4" t="s">
        <v>5</v>
      </c>
      <c r="D5" s="5" t="s">
        <v>6</v>
      </c>
      <c r="E5" s="5" t="s">
        <v>7</v>
      </c>
      <c r="F5" s="4" t="s">
        <v>8</v>
      </c>
      <c r="G5" s="4" t="s">
        <v>9</v>
      </c>
      <c r="H5" s="4" t="s">
        <v>10</v>
      </c>
    </row>
    <row r="6" customFormat="false" ht="15" hidden="false" customHeight="false" outlineLevel="0" collapsed="false">
      <c r="A6" s="6" t="s">
        <v>11</v>
      </c>
      <c r="B6" s="7" t="s">
        <v>12</v>
      </c>
      <c r="C6" s="8"/>
      <c r="D6" s="8"/>
      <c r="E6" s="8"/>
      <c r="F6" s="8"/>
      <c r="G6" s="8"/>
      <c r="H6" s="8"/>
    </row>
    <row r="7" customFormat="false" ht="15" hidden="false" customHeight="false" outlineLevel="0" collapsed="false">
      <c r="A7" s="9" t="s">
        <v>13</v>
      </c>
      <c r="B7" s="3" t="s">
        <v>14</v>
      </c>
      <c r="C7" s="10" t="n">
        <f aca="false">SUMIFS('Proyeccion ER'!$M$7:$M$27,'Proyeccion ER'!$B$7:$B$27,"Cuotas ordinarias",'Proyeccion ER'!$C$7:$C$27,"ORD")</f>
        <v>23687623</v>
      </c>
      <c r="D7" s="11" t="n">
        <f aca="false">SUMIFS('Proyeccion ER'!$Q$7:$Q$27,'Proyeccion ER'!$B$7:$B$27,"Cuotas ordinarias",'Proyeccion ER'!$C$7:$C$27,"ORD")</f>
        <v>9468945</v>
      </c>
      <c r="E7" s="11" t="n">
        <f aca="false">SUMIFS('Proyeccion ER'!$R$7:$R$27,'Proyeccion ER'!$B$7:$B$27,"Cuotas ordinarias",'Proyeccion ER'!$C$7:$C$27,"ORD")</f>
        <v>33156568</v>
      </c>
      <c r="F7" s="10" t="n">
        <f aca="false">SUMIFS('Presupuesto 2026'!$D:$D,'Presupuesto 2026'!$C:$C,"Cuotas ordinarias")</f>
        <v>32913215.1</v>
      </c>
      <c r="G7" s="12" t="n">
        <f aca="false">IF(F7="","",E7-F7)</f>
        <v>243352.899999999</v>
      </c>
      <c r="H7" s="13" t="n">
        <f aca="false">IF(OR(F7="",F7=0),"",G7/F7)</f>
        <v>0.00739377478804854</v>
      </c>
    </row>
    <row r="8" customFormat="false" ht="15" hidden="false" customHeight="false" outlineLevel="0" collapsed="false">
      <c r="A8" s="9" t="s">
        <v>15</v>
      </c>
      <c r="B8" s="3" t="s">
        <v>16</v>
      </c>
      <c r="C8" s="10" t="n">
        <f aca="false">SUMIFS('Proyeccion ER'!$M$7:$M$27,'Proyeccion ER'!$B$7:$B$27,"Cuotas atrasadas",'Proyeccion ER'!$C$7:$C$27,"ORD")</f>
        <v>2994869</v>
      </c>
      <c r="D8" s="11" t="n">
        <f aca="false">SUMIFS('Proyeccion ER'!$Q$7:$Q$27,'Proyeccion ER'!$B$7:$B$27,"Cuotas atrasadas",'Proyeccion ER'!$C$7:$C$27,"ORD")</f>
        <v>396426</v>
      </c>
      <c r="E8" s="11" t="n">
        <f aca="false">SUMIFS('Proyeccion ER'!$R$7:$R$27,'Proyeccion ER'!$B$7:$B$27,"Cuotas atrasadas",'Proyeccion ER'!$C$7:$C$27,"ORD")</f>
        <v>3391295</v>
      </c>
      <c r="F8" s="10" t="n">
        <f aca="false">SUMIFS('Presupuesto 2026'!$D:$D,'Presupuesto 2026'!$C:$C,"Cuotas atrasadas")</f>
        <v>3000000</v>
      </c>
      <c r="G8" s="12" t="n">
        <f aca="false">IF(F8="","",E8-F8)</f>
        <v>391295</v>
      </c>
      <c r="H8" s="13" t="n">
        <f aca="false">IF(OR(F8="",F8=0),"",G8/F8)</f>
        <v>0.130431666666667</v>
      </c>
    </row>
    <row r="9" customFormat="false" ht="15" hidden="false" customHeight="false" outlineLevel="0" collapsed="false">
      <c r="A9" s="9" t="s">
        <v>17</v>
      </c>
      <c r="B9" s="3" t="s">
        <v>18</v>
      </c>
      <c r="C9" s="10" t="n">
        <f aca="false">SUMIFS('Proyeccion ER'!$M$7:$M$27,'Proyeccion ER'!$B$7:$B$27,"Cuotas de construcción",'Proyeccion ER'!$C$7:$C$27,"ORD")</f>
        <v>1007451</v>
      </c>
      <c r="D9" s="11" t="n">
        <f aca="false">SUMIFS('Proyeccion ER'!$Q$7:$Q$27,'Proyeccion ER'!$B$7:$B$27,"Cuotas de construcción",'Proyeccion ER'!$C$7:$C$27,"ORD")</f>
        <v>335817</v>
      </c>
      <c r="E9" s="11" t="n">
        <f aca="false">SUMIFS('Proyeccion ER'!$R$7:$R$27,'Proyeccion ER'!$B$7:$B$27,"Cuotas de construcción",'Proyeccion ER'!$C$7:$C$27,"ORD")</f>
        <v>1343268</v>
      </c>
      <c r="F9" s="10" t="n">
        <f aca="false">SUMIFS('Presupuesto 2026'!$D:$D,'Presupuesto 2026'!$C:$C,"Cuotas de construcción")</f>
        <v>1000000</v>
      </c>
      <c r="G9" s="12" t="n">
        <f aca="false">IF(F9="","",E9-F9)</f>
        <v>343268</v>
      </c>
      <c r="H9" s="13" t="n">
        <f aca="false">IF(OR(F9="",F9=0),"",G9/F9)</f>
        <v>0.343268</v>
      </c>
    </row>
    <row r="10" customFormat="false" ht="15" hidden="false" customHeight="false" outlineLevel="0" collapsed="false">
      <c r="A10" s="9" t="s">
        <v>19</v>
      </c>
      <c r="B10" s="3" t="s">
        <v>20</v>
      </c>
      <c r="C10" s="10" t="n">
        <f aca="false">SUMIFS('Proyeccion ER'!$M$7:$M$27,'Proyeccion ER'!$B$7:$B$27,"Cuota mantto. barrera",'Proyeccion ER'!$C$7:$C$27,"ORD")</f>
        <v>464750</v>
      </c>
      <c r="D10" s="11" t="n">
        <f aca="false">SUMIFS('Proyeccion ER'!$Q$7:$Q$27,'Proyeccion ER'!$B$7:$B$27,"Cuota mantto. barrera",'Proyeccion ER'!$C$7:$C$27,"ORD")</f>
        <v>443234</v>
      </c>
      <c r="E10" s="11" t="n">
        <f aca="false">SUMIFS('Proyeccion ER'!$R$7:$R$27,'Proyeccion ER'!$B$7:$B$27,"Cuota mantto. barrera",'Proyeccion ER'!$C$7:$C$27,"ORD")</f>
        <v>907984</v>
      </c>
      <c r="F10" s="10" t="n">
        <f aca="false">SUMIFS('Presupuesto 2026'!$D:$D,'Presupuesto 2026'!$C:$C,"Cuota mantto. barrera")</f>
        <v>0</v>
      </c>
      <c r="G10" s="12" t="n">
        <f aca="false">IF(F10="","",E10-F10)</f>
        <v>907984</v>
      </c>
      <c r="H10" s="13" t="str">
        <f aca="false">IF(OR(F10="",F10=0),"",G10/F10)</f>
        <v/>
      </c>
    </row>
    <row r="11" customFormat="false" ht="15" hidden="false" customHeight="false" outlineLevel="0" collapsed="false">
      <c r="A11" s="9" t="s">
        <v>21</v>
      </c>
      <c r="B11" s="3" t="s">
        <v>22</v>
      </c>
      <c r="C11" s="10" t="n">
        <f aca="false">SUMIFS('Proyeccion ER'!$M$7:$M$27,'Proyeccion ER'!$B$7:$B$27,"Ingresos de seguridad",'Proyeccion ER'!$C$7:$C$27,"ORD")</f>
        <v>977763</v>
      </c>
      <c r="D11" s="11" t="n">
        <f aca="false">SUMIFS('Proyeccion ER'!$Q$7:$Q$27,'Proyeccion ER'!$B$7:$B$27,"Ingresos de seguridad",'Proyeccion ER'!$C$7:$C$27,"ORD")</f>
        <v>303364</v>
      </c>
      <c r="E11" s="11" t="n">
        <f aca="false">SUMIFS('Proyeccion ER'!$R$7:$R$27,'Proyeccion ER'!$B$7:$B$27,"Ingresos de seguridad",'Proyeccion ER'!$C$7:$C$27,"ORD")</f>
        <v>1281127</v>
      </c>
      <c r="F11" s="10" t="n">
        <f aca="false">SUMIFS('Presupuesto 2026'!$D:$D,'Presupuesto 2026'!$C:$C,"Ingresos de seguridad")</f>
        <v>1750000</v>
      </c>
      <c r="G11" s="12" t="n">
        <f aca="false">IF(F11="","",E11-F11)</f>
        <v>-468873</v>
      </c>
      <c r="H11" s="13" t="n">
        <f aca="false">IF(OR(F11="",F11=0),"",G11/F11)</f>
        <v>-0.267927428571429</v>
      </c>
    </row>
    <row r="12" customFormat="false" ht="15" hidden="false" customHeight="false" outlineLevel="0" collapsed="false">
      <c r="A12" s="9" t="s">
        <v>23</v>
      </c>
      <c r="B12" s="3" t="s">
        <v>24</v>
      </c>
      <c r="C12" s="10" t="n">
        <f aca="false">SUMIFS('Proyeccion ER'!$M$7:$M$27,'Proyeccion ER'!$B$7:$B$27,"Arrendamiento",'Proyeccion ER'!$C$7:$C$27,"ORD")</f>
        <v>926032</v>
      </c>
      <c r="D12" s="11" t="n">
        <f aca="false">SUMIFS('Proyeccion ER'!$Q$7:$Q$27,'Proyeccion ER'!$B$7:$B$27,"Arrendamiento",'Proyeccion ER'!$C$7:$C$27,"ORD")</f>
        <v>211871.25</v>
      </c>
      <c r="E12" s="11" t="n">
        <f aca="false">SUMIFS('Proyeccion ER'!$R$7:$R$27,'Proyeccion ER'!$B$7:$B$27,"Arrendamiento",'Proyeccion ER'!$C$7:$C$27,"ORD")</f>
        <v>1137903.25</v>
      </c>
      <c r="F12" s="10" t="n">
        <f aca="false">SUMIFS('Presupuesto 2026'!$D:$D,'Presupuesto 2026'!$C:$C,"Arrendamiento")</f>
        <v>847476</v>
      </c>
      <c r="G12" s="12" t="n">
        <f aca="false">IF(F12="","",E12-F12)</f>
        <v>290427.25</v>
      </c>
      <c r="H12" s="13" t="n">
        <f aca="false">IF(OR(F12="",F12=0),"",G12/F12)</f>
        <v>0.342696725334995</v>
      </c>
    </row>
    <row r="13" customFormat="false" ht="15" hidden="false" customHeight="false" outlineLevel="0" collapsed="false">
      <c r="A13" s="9" t="s">
        <v>25</v>
      </c>
      <c r="B13" s="3" t="s">
        <v>26</v>
      </c>
      <c r="C13" s="10" t="n">
        <f aca="false">SUMIFS('Proyeccion ER'!$M$7:$M$27,'Proyeccion ER'!$B$7:$B$27,"Financieros y cambiarios",'Proyeccion ER'!$C$7:$C$27,"ORD")</f>
        <v>45283</v>
      </c>
      <c r="D13" s="11" t="n">
        <f aca="false">SUMIFS('Proyeccion ER'!$Q$7:$Q$27,'Proyeccion ER'!$B$7:$B$27,"Financieros y cambiarios",'Proyeccion ER'!$C$7:$C$27,"ORD")</f>
        <v>1603</v>
      </c>
      <c r="E13" s="11" t="n">
        <f aca="false">SUMIFS('Proyeccion ER'!$R$7:$R$27,'Proyeccion ER'!$B$7:$B$27,"Financieros y cambiarios",'Proyeccion ER'!$C$7:$C$27,"ORD")</f>
        <v>46886</v>
      </c>
      <c r="F13" s="10" t="n">
        <f aca="false">SUMIFS('Presupuesto 2026'!$D:$D,'Presupuesto 2026'!$C:$C,"Financieros y cambiarios")</f>
        <v>0</v>
      </c>
      <c r="G13" s="12" t="n">
        <f aca="false">IF(F13="","",E13-F13)</f>
        <v>46886</v>
      </c>
      <c r="H13" s="13" t="str">
        <f aca="false">IF(OR(F13="",F13=0),"",G13/F13)</f>
        <v/>
      </c>
    </row>
    <row r="14" customFormat="false" ht="15" hidden="false" customHeight="false" outlineLevel="0" collapsed="false">
      <c r="A14" s="14" t="s">
        <v>27</v>
      </c>
      <c r="B14" s="15" t="s">
        <v>28</v>
      </c>
      <c r="C14" s="16" t="n">
        <f aca="false">SUM(C7:C13)</f>
        <v>30103771</v>
      </c>
      <c r="D14" s="17" t="n">
        <f aca="false">SUM(D7:D13)</f>
        <v>11161260.25</v>
      </c>
      <c r="E14" s="17" t="n">
        <f aca="false">SUM(E7:E13)</f>
        <v>41265031.25</v>
      </c>
      <c r="F14" s="16" t="n">
        <f aca="false">SUM(F7:F13)</f>
        <v>39510691.1</v>
      </c>
      <c r="G14" s="16" t="n">
        <f aca="false">IF(F14="","",E14-F14)</f>
        <v>1754340.15</v>
      </c>
      <c r="H14" s="18" t="n">
        <f aca="false">IF(OR(F14="",F14=0),"",G14/F14)</f>
        <v>0.0444016568973656</v>
      </c>
    </row>
    <row r="16" customFormat="false" ht="15" hidden="false" customHeight="false" outlineLevel="0" collapsed="false">
      <c r="A16" s="6" t="s">
        <v>29</v>
      </c>
      <c r="B16" s="7" t="s">
        <v>30</v>
      </c>
      <c r="C16" s="8"/>
      <c r="D16" s="8"/>
      <c r="E16" s="8"/>
      <c r="F16" s="8"/>
      <c r="G16" s="8"/>
      <c r="H16" s="8"/>
    </row>
    <row r="17" customFormat="false" ht="15" hidden="false" customHeight="false" outlineLevel="0" collapsed="false">
      <c r="A17" s="9" t="s">
        <v>31</v>
      </c>
      <c r="B17" s="3" t="s">
        <v>32</v>
      </c>
      <c r="C17" s="10" t="n">
        <f aca="false">SUMIFS('Proyeccion ER'!$M$32:$M$281,'Proyeccion ER'!$B$32:$B$281,"Seguridad",'Proyeccion ER'!$C$32:$C$281,"ORD")</f>
        <v>9208788</v>
      </c>
      <c r="D17" s="11" t="n">
        <f aca="false">SUMIFS('Proyeccion ER'!$Q$32:$Q$281,'Proyeccion ER'!$B$32:$B$281,"Seguridad",'Proyeccion ER'!$C$32:$C$281,"ORD")</f>
        <v>3077973</v>
      </c>
      <c r="E17" s="11" t="n">
        <f aca="false">SUMIFS('Proyeccion ER'!$R$32:$R$281,'Proyeccion ER'!$B$32:$B$281,"Seguridad",'Proyeccion ER'!$C$32:$C$281,"ORD")</f>
        <v>12286761</v>
      </c>
      <c r="F17" s="10" t="n">
        <f aca="false">SUMIFS('Presupuesto 2026'!$D:$D,'Presupuesto 2026'!$C:$C,"Seguridad")</f>
        <v>10800000</v>
      </c>
      <c r="G17" s="12" t="n">
        <f aca="false">IF(F17="","",E17-F17)</f>
        <v>1486761</v>
      </c>
      <c r="H17" s="13" t="n">
        <f aca="false">IF(OR(F17="",F17=0),"",G17/F17)</f>
        <v>0.137663055555556</v>
      </c>
    </row>
    <row r="18" customFormat="false" ht="15" hidden="false" customHeight="false" outlineLevel="0" collapsed="false">
      <c r="A18" s="9" t="s">
        <v>33</v>
      </c>
      <c r="B18" s="3" t="s">
        <v>34</v>
      </c>
      <c r="C18" s="10" t="n">
        <f aca="false">SUMIFS('Proyeccion ER'!$M$32:$M$281,'Proyeccion ER'!$B$32:$B$281,"Nómina",'Proyeccion ER'!$C$32:$C$281,"ORD")</f>
        <v>13548587</v>
      </c>
      <c r="D18" s="11" t="n">
        <f aca="false">SUMIFS('Proyeccion ER'!$Q$32:$Q$281,'Proyeccion ER'!$B$32:$B$281,"Nómina",'Proyeccion ER'!$C$32:$C$281,"ORD")</f>
        <v>5001431.50745614</v>
      </c>
      <c r="E18" s="11" t="n">
        <f aca="false">SUMIFS('Proyeccion ER'!$R$32:$R$281,'Proyeccion ER'!$B$32:$B$281,"Nómina",'Proyeccion ER'!$C$32:$C$281,"ORD")</f>
        <v>18550018.5074561</v>
      </c>
      <c r="F18" s="10" t="n">
        <f aca="false">SUMIFS('Presupuesto 2026'!$D:$D,'Presupuesto 2026'!$C:$C,"Nómina")</f>
        <v>18839774.31</v>
      </c>
      <c r="G18" s="12" t="n">
        <f aca="false">IF(F18="","",E18-F18)</f>
        <v>-289755.80254386</v>
      </c>
      <c r="H18" s="13" t="n">
        <f aca="false">IF(OR(F18="",F18=0),"",G18/F18)</f>
        <v>-0.0153800039096042</v>
      </c>
    </row>
    <row r="19" customFormat="false" ht="15" hidden="false" customHeight="false" outlineLevel="0" collapsed="false">
      <c r="A19" s="9" t="s">
        <v>35</v>
      </c>
      <c r="B19" s="3" t="s">
        <v>36</v>
      </c>
      <c r="C19" s="10" t="n">
        <f aca="false">SUMIFS('Proyeccion ER'!$M$32:$M$281,'Proyeccion ER'!$B$32:$B$281,"Gastos operativos",'Proyeccion ER'!$C$32:$C$281,"ORD")</f>
        <v>4068506</v>
      </c>
      <c r="D19" s="11" t="n">
        <f aca="false">SUMIFS('Proyeccion ER'!$Q$32:$Q$281,'Proyeccion ER'!$B$32:$B$281,"Gastos operativos",'Proyeccion ER'!$C$32:$C$281,"ORD")</f>
        <v>2088617.12666667</v>
      </c>
      <c r="E19" s="11" t="n">
        <f aca="false">SUMIFS('Proyeccion ER'!$R$32:$R$281,'Proyeccion ER'!$B$32:$B$281,"Gastos operativos",'Proyeccion ER'!$C$32:$C$281,"ORD")</f>
        <v>6157123.12666667</v>
      </c>
      <c r="F19" s="10" t="n">
        <f aca="false">SUMIFS('Presupuesto 2026'!$D:$D,'Presupuesto 2026'!$C:$C,"Gastos operativos")</f>
        <v>5049400</v>
      </c>
      <c r="G19" s="12" t="n">
        <f aca="false">IF(F19="","",E19-F19)</f>
        <v>1107723.12666667</v>
      </c>
      <c r="H19" s="13" t="n">
        <f aca="false">IF(OR(F19="",F19=0),"",G19/F19)</f>
        <v>0.219377178806723</v>
      </c>
    </row>
    <row r="20" customFormat="false" ht="15" hidden="false" customHeight="false" outlineLevel="0" collapsed="false">
      <c r="A20" s="9" t="s">
        <v>37</v>
      </c>
      <c r="B20" s="3" t="s">
        <v>38</v>
      </c>
      <c r="C20" s="10" t="n">
        <f aca="false">SUMIFS('Proyeccion ER'!$M$32:$M$281,'Proyeccion ER'!$B$32:$B$281,"Administración",'Proyeccion ER'!$C$32:$C$281,"ORD")</f>
        <v>2577373</v>
      </c>
      <c r="D20" s="11" t="n">
        <f aca="false">SUMIFS('Proyeccion ER'!$Q$32:$Q$281,'Proyeccion ER'!$B$32:$B$281,"Administración",'Proyeccion ER'!$C$32:$C$281,"ORD")</f>
        <v>749919.166666667</v>
      </c>
      <c r="E20" s="11" t="n">
        <f aca="false">SUMIFS('Proyeccion ER'!$R$32:$R$281,'Proyeccion ER'!$B$32:$B$281,"Administración",'Proyeccion ER'!$C$32:$C$281,"ORD")</f>
        <v>3327292.16666667</v>
      </c>
      <c r="F20" s="10" t="n">
        <f aca="false">SUMIFS('Presupuesto 2026'!$D:$D,'Presupuesto 2026'!$C:$C,"Administración")</f>
        <v>3454500</v>
      </c>
      <c r="G20" s="12" t="n">
        <f aca="false">IF(F20="","",E20-F20)</f>
        <v>-127207.833333333</v>
      </c>
      <c r="H20" s="13" t="n">
        <f aca="false">IF(OR(F20="",F20=0),"",G20/F20)</f>
        <v>-0.0368238046991847</v>
      </c>
    </row>
    <row r="21" customFormat="false" ht="15" hidden="false" customHeight="false" outlineLevel="0" collapsed="false">
      <c r="A21" s="14" t="s">
        <v>39</v>
      </c>
      <c r="B21" s="15" t="s">
        <v>40</v>
      </c>
      <c r="C21" s="16" t="n">
        <f aca="false">SUM(C17:C20)</f>
        <v>29403254</v>
      </c>
      <c r="D21" s="17" t="n">
        <f aca="false">SUM(D17:D20)</f>
        <v>10917940.8007895</v>
      </c>
      <c r="E21" s="17" t="n">
        <f aca="false">SUM(E17:E20)</f>
        <v>40321194.8007895</v>
      </c>
      <c r="F21" s="16" t="n">
        <f aca="false">SUM(F17:F20)</f>
        <v>38143674.31</v>
      </c>
      <c r="G21" s="16" t="n">
        <f aca="false">IF(F21="","",E21-F21)</f>
        <v>2177520.49078947</v>
      </c>
      <c r="H21" s="18" t="n">
        <f aca="false">IF(OR(F21="",F21=0),"",G21/F21)</f>
        <v>0.0570873291621671</v>
      </c>
    </row>
    <row r="23" customFormat="false" ht="15" hidden="false" customHeight="false" outlineLevel="0" collapsed="false">
      <c r="A23" s="19" t="s">
        <v>41</v>
      </c>
      <c r="B23" s="3" t="s">
        <v>42</v>
      </c>
      <c r="C23" s="20" t="n">
        <f aca="false">C14-C21</f>
        <v>700517</v>
      </c>
      <c r="D23" s="21" t="n">
        <f aca="false">D14-D21</f>
        <v>243319.449210526</v>
      </c>
      <c r="E23" s="21" t="n">
        <f aca="false">E14-E21</f>
        <v>943836.449210532</v>
      </c>
      <c r="F23" s="20" t="n">
        <f aca="false">F14-F21</f>
        <v>1367016.79</v>
      </c>
      <c r="G23" s="20" t="n">
        <f aca="false">IF(F23="","",E23-F23)</f>
        <v>-423180.340789467</v>
      </c>
    </row>
    <row r="24" customFormat="false" ht="15" hidden="false" customHeight="false" outlineLevel="0" collapsed="false">
      <c r="A24" s="9" t="s">
        <v>43</v>
      </c>
      <c r="B24" s="3" t="s">
        <v>44</v>
      </c>
      <c r="C24" s="10" t="n">
        <f aca="false">SUMIFS('Proyeccion ER'!$M$32:$M$281,'Proyeccion ER'!$B$32:$B$281,"Depreciación",'Proyeccion ER'!$C$32:$C$281,"ORD")</f>
        <v>882649</v>
      </c>
      <c r="D24" s="11" t="n">
        <f aca="false">SUMIFS('Proyeccion ER'!$Q$32:$Q$281,'Proyeccion ER'!$B$32:$B$281,"Depreciación",'Proyeccion ER'!$C$32:$C$281,"ORD")</f>
        <v>292187.360833333</v>
      </c>
      <c r="E24" s="11" t="n">
        <f aca="false">SUMIFS('Proyeccion ER'!$R$32:$R$281,'Proyeccion ER'!$B$32:$B$281,"Depreciación",'Proyeccion ER'!$C$32:$C$281,"ORD")</f>
        <v>1174836.36083333</v>
      </c>
      <c r="F24" s="10" t="n">
        <f aca="false">SUMIFS('Presupuesto 2026'!$D:$D,'Presupuesto 2026'!$C:$C,"Depreciación")</f>
        <v>1337386</v>
      </c>
      <c r="G24" s="12" t="n">
        <f aca="false">IF(F24="","",E24-F24)</f>
        <v>-162549.639166667</v>
      </c>
      <c r="H24" s="13" t="n">
        <f aca="false">IF(OR(F24="",F24=0),"",G24/F24)</f>
        <v>-0.121542800034296</v>
      </c>
    </row>
    <row r="25" customFormat="false" ht="15" hidden="false" customHeight="false" outlineLevel="0" collapsed="false">
      <c r="A25" s="14" t="s">
        <v>45</v>
      </c>
      <c r="B25" s="15" t="s">
        <v>46</v>
      </c>
      <c r="C25" s="16" t="n">
        <f aca="false">C23-C24</f>
        <v>-182132</v>
      </c>
      <c r="D25" s="17" t="n">
        <f aca="false">D23-D24</f>
        <v>-48867.9116228069</v>
      </c>
      <c r="E25" s="17" t="n">
        <f aca="false">E23-E24</f>
        <v>-230999.911622801</v>
      </c>
      <c r="F25" s="16" t="n">
        <f aca="false">F23-F24</f>
        <v>29630.7899999991</v>
      </c>
      <c r="G25" s="16" t="n">
        <f aca="false">IF(F25="","",E25-F25)</f>
        <v>-260630.7016228</v>
      </c>
    </row>
    <row r="27" customFormat="false" ht="15" hidden="false" customHeight="false" outlineLevel="0" collapsed="false">
      <c r="A27" s="6" t="s">
        <v>47</v>
      </c>
      <c r="B27" s="7" t="s">
        <v>48</v>
      </c>
      <c r="C27" s="8"/>
      <c r="D27" s="8"/>
      <c r="E27" s="8"/>
      <c r="F27" s="8"/>
      <c r="G27" s="8"/>
      <c r="H27" s="8"/>
    </row>
    <row r="28" customFormat="false" ht="15" hidden="false" customHeight="false" outlineLevel="0" collapsed="false">
      <c r="A28" s="9" t="s">
        <v>49</v>
      </c>
      <c r="B28" s="3" t="s">
        <v>50</v>
      </c>
      <c r="C28" s="10" t="n">
        <f aca="false">SUMIFS('Proyeccion ER'!$M$7:$M$27,'Proyeccion ER'!$C$7:$C$27,"EXT")</f>
        <v>8356605</v>
      </c>
      <c r="D28" s="11" t="n">
        <f aca="false">SUMIFS('Proyeccion ER'!$Q$7:$Q$27,'Proyeccion ER'!$C$7:$C$27,"EXT")</f>
        <v>1118062.49593121</v>
      </c>
      <c r="E28" s="11" t="n">
        <f aca="false">SUMIFS('Proyeccion ER'!$R$7:$R$27,'Proyeccion ER'!$C$7:$C$27,"EXT")</f>
        <v>9474667.49593121</v>
      </c>
    </row>
    <row r="29" customFormat="false" ht="15" hidden="false" customHeight="false" outlineLevel="0" collapsed="false">
      <c r="A29" s="9" t="s">
        <v>51</v>
      </c>
      <c r="B29" s="3" t="s">
        <v>52</v>
      </c>
      <c r="C29" s="10" t="n">
        <f aca="false">-SUMIFS('Proyeccion ER'!$M$32:$M$281,'Proyeccion ER'!$C$32:$C$281,"EXT")</f>
        <v>-1442961</v>
      </c>
      <c r="D29" s="11" t="n">
        <f aca="false">-SUMIFS('Proyeccion ER'!$Q$32:$Q$281,'Proyeccion ER'!$C$32:$C$281,"EXT")</f>
        <v>-2408439</v>
      </c>
      <c r="E29" s="11" t="n">
        <f aca="false">-SUMIFS('Proyeccion ER'!$R$32:$R$281,'Proyeccion ER'!$C$32:$C$281,"EXT")</f>
        <v>-3851400</v>
      </c>
    </row>
    <row r="30" customFormat="false" ht="15" hidden="false" customHeight="false" outlineLevel="0" collapsed="false">
      <c r="A30" s="9" t="s">
        <v>53</v>
      </c>
      <c r="B30" s="3" t="s">
        <v>54</v>
      </c>
      <c r="C30" s="10" t="n">
        <f aca="false">SUMIFS('Proyeccion ER'!$M$7:$M$27,'Proyeccion ER'!$C$7:$C$27,"COM")-SUMIFS('Proyeccion ER'!$M$32:$M$281,'Proyeccion ER'!$C$32:$C$281,"COM")</f>
        <v>12247</v>
      </c>
      <c r="D30" s="11" t="n">
        <f aca="false">SUMIFS('Proyeccion ER'!$Q$7:$Q$27,'Proyeccion ER'!$C$7:$C$27,"COM")-SUMIFS('Proyeccion ER'!$Q$32:$Q$281,'Proyeccion ER'!$C$32:$C$281,"COM")</f>
        <v>0</v>
      </c>
      <c r="E30" s="11" t="n">
        <f aca="false">SUMIFS('Proyeccion ER'!$R$7:$R$27,'Proyeccion ER'!$C$7:$C$27,"COM")-SUMIFS('Proyeccion ER'!$R$32:$R$281,'Proyeccion ER'!$C$32:$C$281,"COM")</f>
        <v>12247</v>
      </c>
    </row>
    <row r="31" customFormat="false" ht="15" hidden="false" customHeight="false" outlineLevel="0" collapsed="false">
      <c r="A31" s="14" t="s">
        <v>55</v>
      </c>
      <c r="B31" s="15" t="s">
        <v>56</v>
      </c>
      <c r="C31" s="16" t="n">
        <f aca="false">SUM(C28:C30)</f>
        <v>6925891</v>
      </c>
      <c r="D31" s="17" t="n">
        <f aca="false">SUM(D28:D30)</f>
        <v>-1290376.50406879</v>
      </c>
      <c r="E31" s="17" t="n">
        <f aca="false">SUM(E28:E30)</f>
        <v>5635514.49593121</v>
      </c>
    </row>
    <row r="33" customFormat="false" ht="15" hidden="false" customHeight="false" outlineLevel="0" collapsed="false">
      <c r="A33" s="14" t="s">
        <v>57</v>
      </c>
      <c r="B33" s="15" t="s">
        <v>58</v>
      </c>
      <c r="C33" s="16" t="n">
        <f aca="false">'Proyeccion ER'!M286</f>
        <v>6743759</v>
      </c>
      <c r="D33" s="17" t="n">
        <f aca="false">'Proyeccion ER'!Q286</f>
        <v>-1339244.4156916</v>
      </c>
      <c r="E33" s="17" t="n">
        <f aca="false">'Proyeccion ER'!R286</f>
        <v>5404514.58430841</v>
      </c>
      <c r="F33" s="16" t="n">
        <f aca="false">'Proyeccion ER'!S286</f>
        <v>29630.7899999991</v>
      </c>
      <c r="G33" s="16" t="n">
        <f aca="false">IF(F33="","",E33-F33)</f>
        <v>5374883.79430841</v>
      </c>
    </row>
    <row r="34" customFormat="false" ht="15" hidden="false" customHeight="false" outlineLevel="0" collapsed="false">
      <c r="A34" s="9" t="s">
        <v>59</v>
      </c>
      <c r="B34" s="3" t="s">
        <v>60</v>
      </c>
      <c r="C34" s="22" t="n">
        <f aca="false">ROUND(C25+C31-C33,0)</f>
        <v>0</v>
      </c>
      <c r="D34" s="23" t="n">
        <f aca="false">ROUND(D25+D31-D33,0)</f>
        <v>0</v>
      </c>
      <c r="E34" s="23" t="n">
        <f aca="false">ROUND(E25+E31-E33,0)</f>
        <v>0</v>
      </c>
    </row>
    <row r="35" customFormat="false" ht="15" hidden="false" customHeight="false" outlineLevel="0" collapsed="false">
      <c r="A35" s="9" t="s">
        <v>61</v>
      </c>
      <c r="B35" s="3" t="s">
        <v>62</v>
      </c>
      <c r="C35" s="10" t="n">
        <f aca="false">Proyectos!H7</f>
        <v>5277636.7</v>
      </c>
      <c r="D35" s="11" t="n">
        <f aca="false">Proyectos!I7</f>
        <v>1342363.3</v>
      </c>
      <c r="E35" s="11" t="n">
        <f aca="false">Proyectos!J7</f>
        <v>6620000</v>
      </c>
    </row>
    <row r="37" customFormat="false" ht="27.75" hidden="false" customHeight="true" outlineLevel="0" collapsed="false">
      <c r="A37" s="24" t="s">
        <v>63</v>
      </c>
      <c r="B37" s="25" t="s">
        <v>64</v>
      </c>
      <c r="C37" s="4" t="s">
        <v>65</v>
      </c>
      <c r="D37" s="4" t="s">
        <v>66</v>
      </c>
      <c r="E37" s="4" t="s">
        <v>67</v>
      </c>
      <c r="F37" s="4" t="s">
        <v>68</v>
      </c>
      <c r="G37" s="4" t="s">
        <v>69</v>
      </c>
      <c r="H37" s="4" t="s">
        <v>70</v>
      </c>
    </row>
    <row r="38" customFormat="false" ht="15" hidden="false" customHeight="false" outlineLevel="0" collapsed="false">
      <c r="A38" s="9" t="s">
        <v>71</v>
      </c>
      <c r="B38" s="3" t="s">
        <v>72</v>
      </c>
      <c r="C38" s="10" t="n">
        <f aca="false">Proyectos!B7</f>
        <v>6620000</v>
      </c>
      <c r="D38" s="10" t="n">
        <f aca="false">Proyectos!C7</f>
        <v>6620000</v>
      </c>
      <c r="E38" s="10" t="n">
        <f aca="false">Proyectos!F7</f>
        <v>6491065.88086422</v>
      </c>
      <c r="F38" s="10" t="n">
        <f aca="false">Proyectos!J7</f>
        <v>6620000</v>
      </c>
      <c r="G38" s="10" t="n">
        <f aca="false">Proyectos!K7</f>
        <v>-128934.119135777</v>
      </c>
      <c r="H38" s="10" t="n">
        <f aca="false">Proyectos!M7</f>
        <v>0</v>
      </c>
    </row>
    <row r="39" customFormat="false" ht="15" hidden="false" customHeight="false" outlineLevel="0" collapsed="false">
      <c r="A39" s="9" t="s">
        <v>73</v>
      </c>
      <c r="B39" s="3" t="s">
        <v>74</v>
      </c>
      <c r="C39" s="10" t="n">
        <f aca="false">Proyectos!B8</f>
        <v>2200000</v>
      </c>
      <c r="D39" s="10" t="n">
        <f aca="false">Proyectos!C8</f>
        <v>2200000</v>
      </c>
      <c r="E39" s="10" t="n">
        <f aca="false">Proyectos!F8</f>
        <v>2018504.77744305</v>
      </c>
      <c r="F39" s="10" t="n">
        <f aca="false">Proyectos!J8</f>
        <v>2200000</v>
      </c>
      <c r="G39" s="10" t="n">
        <f aca="false">Proyectos!K8</f>
        <v>-181495.222556952</v>
      </c>
      <c r="H39" s="10" t="n">
        <f aca="false">Proyectos!M8</f>
        <v>0</v>
      </c>
    </row>
    <row r="40" customFormat="false" ht="15" hidden="false" customHeight="false" outlineLevel="0" collapsed="false">
      <c r="A40" s="9" t="s">
        <v>75</v>
      </c>
      <c r="B40" s="3" t="s">
        <v>76</v>
      </c>
      <c r="C40" s="10" t="n">
        <f aca="false">Proyectos!B9</f>
        <v>201400</v>
      </c>
      <c r="D40" s="10" t="n">
        <f aca="false">Proyectos!C9</f>
        <v>201400</v>
      </c>
      <c r="E40" s="10" t="n">
        <f aca="false">Proyectos!F9</f>
        <v>188419.990609308</v>
      </c>
      <c r="F40" s="10" t="n">
        <f aca="false">Proyectos!J9</f>
        <v>201400</v>
      </c>
      <c r="G40" s="10" t="n">
        <f aca="false">Proyectos!K9</f>
        <v>-12980.0093906922</v>
      </c>
      <c r="H40" s="10" t="n">
        <f aca="false">Proyectos!M9</f>
        <v>0</v>
      </c>
    </row>
    <row r="41" customFormat="false" ht="15" hidden="false" customHeight="false" outlineLevel="0" collapsed="false">
      <c r="A41" s="9" t="s">
        <v>77</v>
      </c>
      <c r="B41" s="3" t="s">
        <v>78</v>
      </c>
      <c r="C41" s="10" t="n">
        <f aca="false">Proyectos!B10</f>
        <v>852600</v>
      </c>
      <c r="D41" s="10" t="n">
        <f aca="false">Proyectos!C10</f>
        <v>1450000</v>
      </c>
      <c r="E41" s="10" t="n">
        <f aca="false">Proyectos!F10</f>
        <v>776676.847014632</v>
      </c>
      <c r="F41" s="10" t="n">
        <f aca="false">Proyectos!J10</f>
        <v>1450000</v>
      </c>
      <c r="G41" s="10" t="n">
        <f aca="false">Proyectos!K10</f>
        <v>-673323.152985368</v>
      </c>
      <c r="H41" s="10" t="n">
        <f aca="false">Proyectos!M10</f>
        <v>597400</v>
      </c>
    </row>
    <row r="42" customFormat="false" ht="15" hidden="false" customHeight="false" outlineLevel="0" collapsed="false">
      <c r="A42" s="9" t="s">
        <v>79</v>
      </c>
      <c r="B42" s="3" t="s">
        <v>80</v>
      </c>
      <c r="C42" s="10" t="n">
        <f aca="false">Proyectos!B11</f>
        <v>0</v>
      </c>
      <c r="D42" s="10" t="n">
        <f aca="false">Proyectos!C11</f>
        <v>0</v>
      </c>
      <c r="E42" s="10" t="n">
        <f aca="false">Proyectos!F11</f>
        <v>109951</v>
      </c>
      <c r="F42" s="10" t="n">
        <f aca="false">Proyectos!J11</f>
        <v>97704</v>
      </c>
      <c r="G42" s="10" t="n">
        <f aca="false">Proyectos!K11</f>
        <v>12247</v>
      </c>
      <c r="H42" s="10" t="n">
        <f aca="false">Proyectos!M11</f>
        <v>0</v>
      </c>
    </row>
    <row r="43" customFormat="false" ht="15" hidden="false" customHeight="false" outlineLevel="0" collapsed="false">
      <c r="A43" s="26" t="s">
        <v>81</v>
      </c>
      <c r="B43" s="27"/>
      <c r="C43" s="28" t="n">
        <f aca="false">Proyectos!B12</f>
        <v>9874000</v>
      </c>
      <c r="D43" s="28" t="n">
        <f aca="false">Proyectos!C12</f>
        <v>10471400</v>
      </c>
      <c r="E43" s="28" t="n">
        <f aca="false">Proyectos!F12</f>
        <v>9584618.49593121</v>
      </c>
      <c r="F43" s="28" t="n">
        <f aca="false">Proyectos!J12</f>
        <v>10569104</v>
      </c>
      <c r="G43" s="28" t="n">
        <f aca="false">Proyectos!K12</f>
        <v>-984485.50406879</v>
      </c>
      <c r="H43" s="28" t="n">
        <f aca="false">Proyectos!M12</f>
        <v>597400</v>
      </c>
    </row>
    <row r="45" customFormat="false" ht="27.75" hidden="false" customHeight="true" outlineLevel="0" collapsed="false">
      <c r="A45" s="24" t="s">
        <v>82</v>
      </c>
      <c r="B45" s="24"/>
      <c r="C45" s="4" t="s">
        <v>83</v>
      </c>
      <c r="D45" s="5" t="s">
        <v>84</v>
      </c>
      <c r="E45" s="4" t="s">
        <v>85</v>
      </c>
    </row>
    <row r="46" customFormat="false" ht="15" hidden="false" customHeight="false" outlineLevel="0" collapsed="false">
      <c r="A46" s="9" t="s">
        <v>86</v>
      </c>
      <c r="B46" s="3" t="s">
        <v>87</v>
      </c>
      <c r="C46" s="10" t="n">
        <f aca="false">Liquidez!B21</f>
        <v>8085560</v>
      </c>
      <c r="D46" s="11" t="n">
        <f aca="false">Liquidez!C21</f>
        <v>5696139.64514174</v>
      </c>
      <c r="E46" s="12" t="n">
        <f aca="false">D46-C46</f>
        <v>-2389420.35485826</v>
      </c>
    </row>
    <row r="47" customFormat="false" ht="15" hidden="false" customHeight="false" outlineLevel="0" collapsed="false">
      <c r="A47" s="9" t="s">
        <v>88</v>
      </c>
      <c r="B47" s="3" t="s">
        <v>89</v>
      </c>
      <c r="C47" s="10" t="n">
        <f aca="false">Liquidez!B28</f>
        <v>1648254.3</v>
      </c>
      <c r="D47" s="11" t="n">
        <f aca="false">Liquidez!C28</f>
        <v>-984485.50406879</v>
      </c>
      <c r="E47" s="12" t="n">
        <f aca="false">D47-C47</f>
        <v>-2632739.80406879</v>
      </c>
    </row>
    <row r="48" customFormat="false" ht="15" hidden="false" customHeight="false" outlineLevel="0" collapsed="false">
      <c r="A48" s="9" t="s">
        <v>90</v>
      </c>
      <c r="B48" s="3" t="s">
        <v>91</v>
      </c>
      <c r="C48" s="10" t="n">
        <f aca="false">Liquidez!B30</f>
        <v>6437305.7</v>
      </c>
      <c r="D48" s="11" t="n">
        <f aca="false">Liquidez!C30</f>
        <v>6680625.14921053</v>
      </c>
      <c r="E48" s="12" t="n">
        <f aca="false">D48-C48</f>
        <v>243319.449210526</v>
      </c>
    </row>
    <row r="49" customFormat="false" ht="15" hidden="false" customHeight="false" outlineLevel="0" collapsed="false">
      <c r="A49" s="9" t="s">
        <v>92</v>
      </c>
      <c r="B49" s="3" t="s">
        <v>93</v>
      </c>
      <c r="C49" s="10" t="n">
        <f aca="false">Liquidez!B31</f>
        <v>5757567.7</v>
      </c>
      <c r="D49" s="11" t="n">
        <f aca="false">Liquidez!C31</f>
        <v>5683892.64514174</v>
      </c>
      <c r="E49" s="12" t="n">
        <f aca="false">D49-C49</f>
        <v>-73675.0548582645</v>
      </c>
    </row>
    <row r="50" customFormat="false" ht="15" hidden="false" customHeight="false" outlineLevel="0" collapsed="false">
      <c r="A50" s="9" t="s">
        <v>94</v>
      </c>
      <c r="B50" s="3" t="s">
        <v>95</v>
      </c>
      <c r="D50" s="11" t="n">
        <f aca="false">Liquidez!C32</f>
        <v>6083225.14921053</v>
      </c>
    </row>
    <row r="51" customFormat="false" ht="15" hidden="false" customHeight="false" outlineLevel="0" collapsed="false">
      <c r="A51" s="9" t="s">
        <v>96</v>
      </c>
      <c r="B51" s="3" t="s">
        <v>97</v>
      </c>
      <c r="C51" s="29" t="n">
        <f aca="false">Liquidez!B35</f>
        <v>1.97038570288853</v>
      </c>
      <c r="D51" s="30" t="n">
        <f aca="false">Liquidez!C35</f>
        <v>1.98822237750149</v>
      </c>
      <c r="E51" s="31" t="n">
        <f aca="false">D51-C51</f>
        <v>0.0178366746129577</v>
      </c>
    </row>
    <row r="52" customFormat="false" ht="15" hidden="false" customHeight="false" outlineLevel="0" collapsed="false">
      <c r="A52" s="9" t="s">
        <v>98</v>
      </c>
      <c r="B52" s="3" t="s">
        <v>99</v>
      </c>
      <c r="C52" s="29" t="n">
        <f aca="false">Liquidez!B36</f>
        <v>1.76232566980512</v>
      </c>
      <c r="D52" s="30" t="n">
        <f aca="false">Liquidez!C36</f>
        <v>1.69158458916414</v>
      </c>
      <c r="E52" s="31" t="n">
        <f aca="false">D52-C52</f>
        <v>-0.0707410806409752</v>
      </c>
    </row>
    <row r="53" customFormat="false" ht="15" hidden="false" customHeight="false" outlineLevel="0" collapsed="false">
      <c r="A53" s="9" t="s">
        <v>100</v>
      </c>
      <c r="B53" s="3" t="s">
        <v>101</v>
      </c>
      <c r="D53" s="30" t="n">
        <f aca="false">Liquidez!C37</f>
        <v>1.81043002696679</v>
      </c>
    </row>
    <row r="55" customFormat="false" ht="27.75" hidden="false" customHeight="true" outlineLevel="0" collapsed="false">
      <c r="A55" s="24" t="s">
        <v>102</v>
      </c>
      <c r="B55" s="25" t="s">
        <v>103</v>
      </c>
      <c r="C55" s="4" t="s">
        <v>104</v>
      </c>
      <c r="D55" s="4" t="s">
        <v>105</v>
      </c>
      <c r="E55" s="4" t="s">
        <v>106</v>
      </c>
    </row>
    <row r="56" customFormat="false" ht="15" hidden="false" customHeight="false" outlineLevel="0" collapsed="false">
      <c r="A56" s="9" t="s">
        <v>107</v>
      </c>
      <c r="B56" s="3" t="s">
        <v>108</v>
      </c>
      <c r="E56" s="20" t="n">
        <f aca="false">E25</f>
        <v>-230999.911622801</v>
      </c>
    </row>
    <row r="57" customFormat="false" ht="15" hidden="false" customHeight="false" outlineLevel="0" collapsed="false">
      <c r="A57" s="9" t="s">
        <v>109</v>
      </c>
      <c r="B57" s="3" t="s">
        <v>110</v>
      </c>
      <c r="C57" s="32" t="n">
        <f aca="false">8383003/7920353-1</f>
        <v>0.058412800540582</v>
      </c>
      <c r="D57" s="12" t="n">
        <f aca="false">(D7-Supuestos!$C$24)*C57</f>
        <v>477170.954911984</v>
      </c>
      <c r="E57" s="12" t="n">
        <f aca="false">E56+D57</f>
        <v>246171.043289183</v>
      </c>
    </row>
    <row r="58" customFormat="false" ht="15" hidden="false" customHeight="false" outlineLevel="0" collapsed="false">
      <c r="A58" s="9" t="s">
        <v>111</v>
      </c>
      <c r="B58" s="3" t="s">
        <v>112</v>
      </c>
      <c r="C58" s="33" t="n">
        <v>833802</v>
      </c>
      <c r="D58" s="12" t="n">
        <f aca="false">C58-'Proyeccion ER'!P8</f>
        <v>701660</v>
      </c>
      <c r="E58" s="12" t="n">
        <f aca="false">E56+D58</f>
        <v>470660.088377199</v>
      </c>
    </row>
    <row r="59" customFormat="false" ht="15" hidden="false" customHeight="false" outlineLevel="0" collapsed="false">
      <c r="A59" s="9" t="s">
        <v>113</v>
      </c>
      <c r="B59" s="3" t="s">
        <v>114</v>
      </c>
      <c r="C59" s="34" t="n">
        <v>2</v>
      </c>
      <c r="D59" s="12" t="n">
        <f aca="false">C59*Supuestos!$C$7</f>
        <v>114400</v>
      </c>
      <c r="E59" s="12" t="n">
        <f aca="false">E56+D59</f>
        <v>-116599.911622801</v>
      </c>
    </row>
    <row r="60" customFormat="false" ht="15" hidden="false" customHeight="false" outlineLevel="0" collapsed="false">
      <c r="A60" s="9" t="s">
        <v>115</v>
      </c>
      <c r="B60" s="3" t="s">
        <v>116</v>
      </c>
      <c r="C60" s="32" t="n">
        <v>-0.05</v>
      </c>
      <c r="D60" s="12" t="n">
        <f aca="false">(D7-Supuestos!$C$24)*C60</f>
        <v>-408447.25</v>
      </c>
      <c r="E60" s="12" t="n">
        <f aca="false">E56+D60</f>
        <v>-639447.161622801</v>
      </c>
    </row>
    <row r="61" customFormat="false" ht="15" hidden="false" customHeight="false" outlineLevel="0" collapsed="false">
      <c r="A61" s="9" t="s">
        <v>117</v>
      </c>
      <c r="B61" s="3" t="s">
        <v>118</v>
      </c>
      <c r="C61" s="32" t="n">
        <v>0</v>
      </c>
      <c r="D61" s="12" t="n">
        <f aca="false">-Supuestos!$C$24*(1-C61)</f>
        <v>-1300000</v>
      </c>
      <c r="E61" s="12" t="n">
        <f aca="false">E56+D61</f>
        <v>-1530999.9116228</v>
      </c>
    </row>
    <row r="62" customFormat="false" ht="15" hidden="false" customHeight="false" outlineLevel="0" collapsed="false">
      <c r="A62" s="14" t="s">
        <v>119</v>
      </c>
      <c r="B62" s="15" t="s">
        <v>120</v>
      </c>
      <c r="D62" s="16" t="n">
        <f aca="false">SUM(D57:D59)</f>
        <v>1293230.95491198</v>
      </c>
      <c r="E62" s="16" t="n">
        <f aca="false">E56+D62</f>
        <v>1062231.04328918</v>
      </c>
    </row>
    <row r="64" customFormat="false" ht="15" hidden="false" customHeight="false" outlineLevel="0" collapsed="false">
      <c r="A64" s="35" t="s">
        <v>121</v>
      </c>
    </row>
    <row r="65" customFormat="false" ht="15" hidden="false" customHeight="false" outlineLevel="0" collapsed="false">
      <c r="A65" s="9" t="s">
        <v>122</v>
      </c>
    </row>
    <row r="66" customFormat="false" ht="15" hidden="false" customHeight="false" outlineLevel="0" collapsed="false">
      <c r="A66" s="3" t="s">
        <v>123</v>
      </c>
    </row>
    <row r="67" customFormat="false" ht="15" hidden="false" customHeight="false" outlineLevel="0" collapsed="false">
      <c r="A67" s="9" t="s">
        <v>124</v>
      </c>
    </row>
    <row r="68" customFormat="false" ht="15" hidden="false" customHeight="false" outlineLevel="0" collapsed="false">
      <c r="A68" s="3" t="s">
        <v>125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2C2182"/>
    <pageSetUpPr fitToPage="true"/>
  </sheetPr>
  <dimension ref="A1:G5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5" topLeftCell="C6" activePane="bottomRight" state="frozen"/>
      <selection pane="topLeft" activeCell="A1" activeCellId="0" sqref="A1"/>
      <selection pane="topRight" activeCell="C1" activeCellId="0" sqref="C1"/>
      <selection pane="bottomLeft" activeCell="A6" activeCellId="0" sqref="A6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8"/>
    <col collapsed="false" customWidth="true" hidden="false" outlineLevel="0" max="2" min="2" style="0" width="50"/>
    <col collapsed="false" customWidth="true" hidden="false" outlineLevel="0" max="7" min="3" style="0" width="16"/>
  </cols>
  <sheetData>
    <row r="1" customFormat="false" ht="17.35" hidden="false" customHeight="false" outlineLevel="0" collapsed="false">
      <c r="A1" s="1" t="s">
        <v>126</v>
      </c>
    </row>
    <row r="2" customFormat="false" ht="15" hidden="false" customHeight="false" outlineLevel="0" collapsed="false">
      <c r="A2" s="2" t="s">
        <v>127</v>
      </c>
    </row>
    <row r="3" customFormat="false" ht="15" hidden="false" customHeight="false" outlineLevel="0" collapsed="false">
      <c r="A3" s="3" t="s">
        <v>128</v>
      </c>
    </row>
    <row r="5" customFormat="false" ht="30" hidden="false" customHeight="true" outlineLevel="0" collapsed="false">
      <c r="A5" s="4" t="s">
        <v>3</v>
      </c>
      <c r="B5" s="4" t="s">
        <v>4</v>
      </c>
      <c r="C5" s="5" t="s">
        <v>129</v>
      </c>
      <c r="D5" s="5" t="s">
        <v>130</v>
      </c>
      <c r="E5" s="5" t="s">
        <v>131</v>
      </c>
      <c r="F5" s="4" t="s">
        <v>8</v>
      </c>
      <c r="G5" s="4" t="s">
        <v>132</v>
      </c>
    </row>
    <row r="6" customFormat="false" ht="15" hidden="false" customHeight="false" outlineLevel="0" collapsed="false">
      <c r="A6" s="6" t="s">
        <v>133</v>
      </c>
      <c r="B6" s="7" t="s">
        <v>134</v>
      </c>
      <c r="C6" s="8"/>
      <c r="D6" s="8"/>
      <c r="E6" s="8"/>
      <c r="F6" s="8"/>
      <c r="G6" s="8"/>
    </row>
    <row r="7" customFormat="false" ht="15" hidden="false" customHeight="false" outlineLevel="0" collapsed="false">
      <c r="A7" s="9" t="s">
        <v>135</v>
      </c>
      <c r="B7" s="3" t="s">
        <v>136</v>
      </c>
      <c r="C7" s="36" t="n">
        <v>0</v>
      </c>
      <c r="D7" s="36" t="n">
        <v>0.4</v>
      </c>
      <c r="E7" s="36" t="n">
        <v>1</v>
      </c>
    </row>
    <row r="8" customFormat="false" ht="15" hidden="false" customHeight="false" outlineLevel="0" collapsed="false">
      <c r="A8" s="9" t="s">
        <v>137</v>
      </c>
      <c r="B8" s="3" t="s">
        <v>138</v>
      </c>
      <c r="C8" s="36" t="n">
        <v>0</v>
      </c>
      <c r="D8" s="36" t="n">
        <v>0.4</v>
      </c>
      <c r="E8" s="36" t="n">
        <v>1</v>
      </c>
    </row>
    <row r="9" customFormat="false" ht="15" hidden="false" customHeight="false" outlineLevel="0" collapsed="false">
      <c r="A9" s="9" t="s">
        <v>139</v>
      </c>
      <c r="B9" s="3" t="s">
        <v>140</v>
      </c>
      <c r="C9" s="12" t="n">
        <f aca="false">C7*Supuestos!$C$24</f>
        <v>0</v>
      </c>
      <c r="D9" s="12" t="n">
        <f aca="false">D7*Supuestos!$C$24</f>
        <v>520000</v>
      </c>
      <c r="E9" s="37" t="n">
        <f aca="false">E7*Supuestos!$C$24</f>
        <v>1300000</v>
      </c>
      <c r="G9" s="12" t="n">
        <f aca="false">E9-C9</f>
        <v>1300000</v>
      </c>
    </row>
    <row r="10" customFormat="false" ht="15" hidden="false" customHeight="false" outlineLevel="0" collapsed="false">
      <c r="A10" s="9" t="s">
        <v>141</v>
      </c>
      <c r="B10" s="3" t="s">
        <v>142</v>
      </c>
      <c r="C10" s="12" t="n">
        <f aca="false">MIN(C8*Supuestos!$C$25,Proyectos!$S$12)</f>
        <v>0</v>
      </c>
      <c r="D10" s="12" t="n">
        <f aca="false">MIN(D8*Supuestos!$C$25,Proyectos!$S$12)</f>
        <v>240000</v>
      </c>
      <c r="E10" s="37" t="n">
        <f aca="false">MIN(E8*Supuestos!$C$25,Proyectos!$S$12)</f>
        <v>600000</v>
      </c>
      <c r="G10" s="12" t="n">
        <f aca="false">E10-C10</f>
        <v>600000</v>
      </c>
    </row>
    <row r="12" customFormat="false" ht="15" hidden="false" customHeight="false" outlineLevel="0" collapsed="false">
      <c r="A12" s="6" t="s">
        <v>143</v>
      </c>
      <c r="B12" s="7" t="s">
        <v>144</v>
      </c>
      <c r="C12" s="8"/>
      <c r="D12" s="8"/>
      <c r="E12" s="8"/>
      <c r="F12" s="8"/>
      <c r="G12" s="8"/>
    </row>
    <row r="13" customFormat="false" ht="15" hidden="false" customHeight="false" outlineLevel="0" collapsed="false">
      <c r="A13" s="9" t="s">
        <v>13</v>
      </c>
      <c r="B13" s="3" t="s">
        <v>14</v>
      </c>
      <c r="C13" s="12" t="n">
        <f aca="false">Resumen!$E$7+(-Supuestos!$C$24+C$9)</f>
        <v>31856568</v>
      </c>
      <c r="D13" s="12" t="n">
        <f aca="false">Resumen!$E$7+(-Supuestos!$C$24+D$9)</f>
        <v>32376568</v>
      </c>
      <c r="E13" s="37" t="n">
        <f aca="false">Resumen!$E$7+(-Supuestos!$C$24+E$9)</f>
        <v>33156568</v>
      </c>
      <c r="F13" s="12" t="n">
        <f aca="false">Resumen!$F$7</f>
        <v>32913215.1</v>
      </c>
      <c r="G13" s="12" t="n">
        <f aca="false">E13-C13</f>
        <v>1300000</v>
      </c>
    </row>
    <row r="14" customFormat="false" ht="15" hidden="false" customHeight="false" outlineLevel="0" collapsed="false">
      <c r="A14" s="19" t="s">
        <v>27</v>
      </c>
      <c r="B14" s="3" t="s">
        <v>28</v>
      </c>
      <c r="C14" s="20" t="n">
        <f aca="false">Resumen!$E$14+(-Supuestos!$C$24+C$9)</f>
        <v>39965031.25</v>
      </c>
      <c r="D14" s="20" t="n">
        <f aca="false">Resumen!$E$14+(-Supuestos!$C$24+D$9)</f>
        <v>40485031.25</v>
      </c>
      <c r="E14" s="21" t="n">
        <f aca="false">Resumen!$E$14+(-Supuestos!$C$24+E$9)</f>
        <v>41265031.25</v>
      </c>
      <c r="F14" s="20" t="n">
        <f aca="false">Resumen!$F$14</f>
        <v>39510691.1</v>
      </c>
      <c r="G14" s="20" t="n">
        <f aca="false">E14-C14</f>
        <v>1300000</v>
      </c>
    </row>
    <row r="15" customFormat="false" ht="15" hidden="false" customHeight="false" outlineLevel="0" collapsed="false">
      <c r="A15" s="9" t="s">
        <v>39</v>
      </c>
      <c r="B15" s="3" t="s">
        <v>40</v>
      </c>
      <c r="C15" s="12" t="n">
        <f aca="false">Resumen!$E$21</f>
        <v>40321194.8007895</v>
      </c>
      <c r="D15" s="12" t="n">
        <f aca="false">Resumen!$E$21</f>
        <v>40321194.8007895</v>
      </c>
      <c r="E15" s="37" t="n">
        <f aca="false">Resumen!$E$21</f>
        <v>40321194.8007895</v>
      </c>
      <c r="F15" s="12" t="n">
        <f aca="false">Resumen!$F$21</f>
        <v>38143674.31</v>
      </c>
      <c r="G15" s="12" t="n">
        <f aca="false">E15-C15</f>
        <v>0</v>
      </c>
    </row>
    <row r="16" customFormat="false" ht="15" hidden="false" customHeight="false" outlineLevel="0" collapsed="false">
      <c r="A16" s="19" t="s">
        <v>41</v>
      </c>
      <c r="B16" s="3" t="s">
        <v>42</v>
      </c>
      <c r="C16" s="20" t="n">
        <f aca="false">C14-C15</f>
        <v>-356163.550789468</v>
      </c>
      <c r="D16" s="20" t="n">
        <f aca="false">D14-D15</f>
        <v>163836.449210532</v>
      </c>
      <c r="E16" s="21" t="n">
        <f aca="false">E14-E15</f>
        <v>943836.449210532</v>
      </c>
      <c r="F16" s="20" t="n">
        <f aca="false">Resumen!$F$23</f>
        <v>1367016.79</v>
      </c>
      <c r="G16" s="20" t="n">
        <f aca="false">E16-C16</f>
        <v>1300000</v>
      </c>
    </row>
    <row r="17" customFormat="false" ht="15" hidden="false" customHeight="false" outlineLevel="0" collapsed="false">
      <c r="A17" s="9" t="s">
        <v>43</v>
      </c>
      <c r="B17" s="3" t="s">
        <v>44</v>
      </c>
      <c r="C17" s="12" t="n">
        <f aca="false">Resumen!$E$24</f>
        <v>1174836.36083333</v>
      </c>
      <c r="D17" s="12" t="n">
        <f aca="false">Resumen!$E$24</f>
        <v>1174836.36083333</v>
      </c>
      <c r="E17" s="37" t="n">
        <f aca="false">Resumen!$E$24</f>
        <v>1174836.36083333</v>
      </c>
      <c r="F17" s="12" t="n">
        <f aca="false">Resumen!$F$24</f>
        <v>1337386</v>
      </c>
      <c r="G17" s="12" t="n">
        <f aca="false">E17-C17</f>
        <v>0</v>
      </c>
    </row>
    <row r="18" customFormat="false" ht="15" hidden="false" customHeight="false" outlineLevel="0" collapsed="false">
      <c r="A18" s="14" t="s">
        <v>45</v>
      </c>
      <c r="B18" s="15" t="s">
        <v>46</v>
      </c>
      <c r="C18" s="16" t="n">
        <f aca="false">C16-C17</f>
        <v>-1530999.9116228</v>
      </c>
      <c r="D18" s="16" t="n">
        <f aca="false">D16-D17</f>
        <v>-1010999.9116228</v>
      </c>
      <c r="E18" s="17" t="n">
        <f aca="false">E16-E17</f>
        <v>-230999.911622801</v>
      </c>
      <c r="F18" s="16" t="n">
        <f aca="false">Resumen!$F$25</f>
        <v>29630.7899999991</v>
      </c>
      <c r="G18" s="16" t="n">
        <f aca="false">E18-C18</f>
        <v>1300000</v>
      </c>
    </row>
    <row r="19" customFormat="false" ht="15" hidden="false" customHeight="false" outlineLevel="0" collapsed="false">
      <c r="A19" s="9" t="s">
        <v>145</v>
      </c>
      <c r="B19" s="3" t="s">
        <v>146</v>
      </c>
      <c r="C19" s="12" t="n">
        <f aca="false">C18-$F$18</f>
        <v>-1560630.7016228</v>
      </c>
      <c r="D19" s="12" t="n">
        <f aca="false">D18-$F$18</f>
        <v>-1040630.7016228</v>
      </c>
      <c r="E19" s="37" t="n">
        <f aca="false">E18-$F$18</f>
        <v>-260630.7016228</v>
      </c>
    </row>
    <row r="21" customFormat="false" ht="15" hidden="false" customHeight="false" outlineLevel="0" collapsed="false">
      <c r="A21" s="6" t="s">
        <v>147</v>
      </c>
      <c r="B21" s="7" t="s">
        <v>148</v>
      </c>
      <c r="C21" s="8"/>
      <c r="D21" s="8"/>
      <c r="E21" s="8"/>
      <c r="F21" s="8"/>
      <c r="G21" s="8"/>
    </row>
    <row r="22" customFormat="false" ht="15" hidden="false" customHeight="false" outlineLevel="0" collapsed="false">
      <c r="A22" s="9" t="s">
        <v>149</v>
      </c>
      <c r="B22" s="3" t="s">
        <v>150</v>
      </c>
      <c r="C22" s="12" t="n">
        <f aca="false">Resumen!$E$28+(-Proyectos!$T$12+C$10)</f>
        <v>8874667.49593121</v>
      </c>
      <c r="D22" s="12" t="n">
        <f aca="false">Resumen!$E$28+(-Proyectos!$T$12+D$10)</f>
        <v>9114667.49593121</v>
      </c>
      <c r="E22" s="37" t="n">
        <f aca="false">Resumen!$E$28+(-Proyectos!$T$12+E$10)</f>
        <v>9474667.49593121</v>
      </c>
      <c r="G22" s="12" t="n">
        <f aca="false">E22-C22</f>
        <v>600000</v>
      </c>
    </row>
    <row r="23" customFormat="false" ht="15" hidden="false" customHeight="false" outlineLevel="0" collapsed="false">
      <c r="A23" s="9" t="s">
        <v>151</v>
      </c>
      <c r="B23" s="3" t="s">
        <v>152</v>
      </c>
      <c r="C23" s="12" t="n">
        <f aca="false">Proyectos!$K$7-Proyectos!$T$7+IF(Proyectos!$S$12=0,0,MIN(Proyectos!$S$7,C$10*Proyectos!$S$7/Proyectos!$S$12))</f>
        <v>-322658.573552191</v>
      </c>
      <c r="D23" s="12" t="n">
        <f aca="false">Proyectos!$K$7-Proyectos!$T$7+IF(Proyectos!$S$12=0,0,MIN(Proyectos!$S$7,D$10*Proyectos!$S$7/Proyectos!$S$12))</f>
        <v>-245168.791785626</v>
      </c>
      <c r="E23" s="37" t="n">
        <f aca="false">Proyectos!$K$7-Proyectos!$T$7+IF(Proyectos!$S$12=0,0,MIN(Proyectos!$S$7,E$10*Proyectos!$S$7/Proyectos!$S$12))</f>
        <v>-128934.119135777</v>
      </c>
      <c r="G23" s="12" t="n">
        <f aca="false">E23-C23</f>
        <v>193724.454416414</v>
      </c>
    </row>
    <row r="24" customFormat="false" ht="15" hidden="false" customHeight="false" outlineLevel="0" collapsed="false">
      <c r="A24" s="9" t="s">
        <v>153</v>
      </c>
      <c r="B24" s="3" t="s">
        <v>154</v>
      </c>
      <c r="C24" s="12" t="n">
        <f aca="false">Proyectos!$K$8-Proyectos!$T$8+IF(Proyectos!$S$12=0,0,MIN(Proyectos!$S$8,C$10*Proyectos!$S$8/Proyectos!$S$12))</f>
        <v>-454193.118231912</v>
      </c>
      <c r="D24" s="12" t="n">
        <f aca="false">Proyectos!$K$8-Proyectos!$T$8+IF(Proyectos!$S$12=0,0,MIN(Proyectos!$S$8,D$10*Proyectos!$S$8/Proyectos!$S$12))</f>
        <v>-345113.959961928</v>
      </c>
      <c r="E24" s="37" t="n">
        <f aca="false">Proyectos!$K$8-Proyectos!$T$8+IF(Proyectos!$S$12=0,0,MIN(Proyectos!$S$8,E$10*Proyectos!$S$8/Proyectos!$S$12))</f>
        <v>-181495.222556952</v>
      </c>
      <c r="G24" s="12" t="n">
        <f aca="false">E24-C24</f>
        <v>272697.89567496</v>
      </c>
    </row>
    <row r="25" customFormat="false" ht="15" hidden="false" customHeight="false" outlineLevel="0" collapsed="false">
      <c r="A25" s="9" t="s">
        <v>155</v>
      </c>
      <c r="B25" s="3" t="s">
        <v>156</v>
      </c>
      <c r="C25" s="12" t="n">
        <f aca="false">Proyectos!$K$9-Proyectos!$T$9+IF(Proyectos!$S$12=0,0,MIN(Proyectos!$S$9,C$10*Proyectos!$S$9/Proyectos!$S$12))</f>
        <v>-32482.5681733195</v>
      </c>
      <c r="D25" s="12" t="n">
        <f aca="false">Proyectos!$K$9-Proyectos!$T$9+IF(Proyectos!$S$12=0,0,MIN(Proyectos!$S$9,D$10*Proyectos!$S$9/Proyectos!$S$12))</f>
        <v>-24681.5446602686</v>
      </c>
      <c r="E25" s="37" t="n">
        <f aca="false">Proyectos!$K$9-Proyectos!$T$9+IF(Proyectos!$S$12=0,0,MIN(Proyectos!$S$9,E$10*Proyectos!$S$9/Proyectos!$S$12))</f>
        <v>-12980.0093906922</v>
      </c>
      <c r="G25" s="12" t="n">
        <f aca="false">E25-C25</f>
        <v>19502.5587826273</v>
      </c>
    </row>
    <row r="26" customFormat="false" ht="15" hidden="false" customHeight="false" outlineLevel="0" collapsed="false">
      <c r="A26" s="9" t="s">
        <v>157</v>
      </c>
      <c r="B26" s="3" t="s">
        <v>158</v>
      </c>
      <c r="C26" s="12" t="n">
        <f aca="false">Proyectos!$K$10-Proyectos!$T$10+IF(Proyectos!$S$12=0,0,MIN(Proyectos!$S$10,C$10*Proyectos!$S$10/Proyectos!$S$12))</f>
        <v>-787398.244111367</v>
      </c>
      <c r="D26" s="12" t="n">
        <f aca="false">Proyectos!$K$10-Proyectos!$T$10+IF(Proyectos!$S$12=0,0,MIN(Proyectos!$S$10,D$10*Proyectos!$S$10/Proyectos!$S$12))</f>
        <v>-741768.207660967</v>
      </c>
      <c r="E26" s="37" t="n">
        <f aca="false">Proyectos!$K$10-Proyectos!$T$10+IF(Proyectos!$S$12=0,0,MIN(Proyectos!$S$10,E$10*Proyectos!$S$10/Proyectos!$S$12))</f>
        <v>-673323.152985368</v>
      </c>
      <c r="G26" s="12" t="n">
        <f aca="false">E26-C26</f>
        <v>114075.091125999</v>
      </c>
    </row>
    <row r="27" customFormat="false" ht="15" hidden="false" customHeight="false" outlineLevel="0" collapsed="false">
      <c r="A27" s="9" t="s">
        <v>159</v>
      </c>
      <c r="B27" s="3" t="s">
        <v>160</v>
      </c>
      <c r="C27" s="12" t="n">
        <f aca="false">Proyectos!$K$11</f>
        <v>12247</v>
      </c>
      <c r="D27" s="12" t="n">
        <f aca="false">Proyectos!$K$11</f>
        <v>12247</v>
      </c>
      <c r="E27" s="37" t="n">
        <f aca="false">Proyectos!$K$11</f>
        <v>12247</v>
      </c>
      <c r="G27" s="12" t="n">
        <f aca="false">E27-C27</f>
        <v>0</v>
      </c>
    </row>
    <row r="28" customFormat="false" ht="15" hidden="false" customHeight="false" outlineLevel="0" collapsed="false">
      <c r="A28" s="14" t="s">
        <v>161</v>
      </c>
      <c r="B28" s="15" t="s">
        <v>162</v>
      </c>
      <c r="C28" s="16" t="n">
        <f aca="false">SUM(C23:C27)</f>
        <v>-1584485.50406879</v>
      </c>
      <c r="D28" s="16" t="n">
        <f aca="false">SUM(D23:D27)</f>
        <v>-1344485.50406879</v>
      </c>
      <c r="E28" s="17" t="n">
        <f aca="false">SUM(E23:E27)</f>
        <v>-984485.50406879</v>
      </c>
      <c r="G28" s="16" t="n">
        <f aca="false">E28-C28</f>
        <v>600000</v>
      </c>
    </row>
    <row r="29" customFormat="false" ht="15" hidden="false" customHeight="false" outlineLevel="0" collapsed="false">
      <c r="A29" s="9" t="s">
        <v>163</v>
      </c>
      <c r="B29" s="3" t="s">
        <v>164</v>
      </c>
      <c r="C29" s="12" t="n">
        <f aca="false">Proyectos!$L$12+Proyectos!$T$12-C10</f>
        <v>999332.50406879</v>
      </c>
      <c r="D29" s="12" t="n">
        <f aca="false">Proyectos!$L$12+Proyectos!$T$12-D10</f>
        <v>759332.50406879</v>
      </c>
      <c r="E29" s="37" t="n">
        <f aca="false">Proyectos!$L$12+Proyectos!$T$12-E10</f>
        <v>399332.50406879</v>
      </c>
      <c r="G29" s="12" t="n">
        <f aca="false">E29-C29</f>
        <v>-600000</v>
      </c>
    </row>
    <row r="30" customFormat="false" ht="15" hidden="false" customHeight="false" outlineLevel="0" collapsed="false">
      <c r="A30" s="9" t="s">
        <v>165</v>
      </c>
      <c r="B30" s="3" t="s">
        <v>166</v>
      </c>
      <c r="C30" s="12" t="n">
        <f aca="false">Proyectos!$M$12</f>
        <v>597400</v>
      </c>
      <c r="D30" s="12" t="n">
        <f aca="false">Proyectos!$M$12</f>
        <v>597400</v>
      </c>
      <c r="E30" s="37" t="n">
        <f aca="false">Proyectos!$M$12</f>
        <v>597400</v>
      </c>
    </row>
    <row r="32" customFormat="false" ht="15" hidden="false" customHeight="false" outlineLevel="0" collapsed="false">
      <c r="A32" s="6" t="s">
        <v>167</v>
      </c>
      <c r="B32" s="7" t="s">
        <v>168</v>
      </c>
      <c r="C32" s="8"/>
      <c r="D32" s="8"/>
      <c r="E32" s="8"/>
      <c r="F32" s="8"/>
      <c r="G32" s="8"/>
    </row>
    <row r="33" customFormat="false" ht="15" hidden="false" customHeight="false" outlineLevel="0" collapsed="false">
      <c r="A33" s="19" t="s">
        <v>57</v>
      </c>
      <c r="B33" s="3" t="s">
        <v>58</v>
      </c>
      <c r="C33" s="20" t="n">
        <f aca="false">Resumen!$E$33+(-Supuestos!$C$24+C$9)+(-Proyectos!$T$12+C$10)</f>
        <v>3504514.58430841</v>
      </c>
      <c r="D33" s="20" t="n">
        <f aca="false">Resumen!$E$33+(-Supuestos!$C$24+D$9)+(-Proyectos!$T$12+D$10)</f>
        <v>4264514.58430841</v>
      </c>
      <c r="E33" s="21" t="n">
        <f aca="false">Resumen!$E$33+(-Supuestos!$C$24+E$9)+(-Proyectos!$T$12+E$10)</f>
        <v>5404514.58430841</v>
      </c>
      <c r="F33" s="20" t="n">
        <f aca="false">Resumen!$F$33</f>
        <v>29630.7899999991</v>
      </c>
      <c r="G33" s="20" t="n">
        <f aca="false">E33-C33</f>
        <v>1900000</v>
      </c>
    </row>
    <row r="35" customFormat="false" ht="15" hidden="false" customHeight="false" outlineLevel="0" collapsed="false">
      <c r="A35" s="6" t="s">
        <v>169</v>
      </c>
      <c r="B35" s="7" t="s">
        <v>170</v>
      </c>
      <c r="C35" s="8"/>
      <c r="D35" s="8"/>
      <c r="E35" s="8"/>
      <c r="F35" s="8"/>
      <c r="G35" s="8"/>
    </row>
    <row r="36" customFormat="false" ht="15" hidden="false" customHeight="false" outlineLevel="0" collapsed="false">
      <c r="A36" s="9" t="s">
        <v>171</v>
      </c>
      <c r="B36" s="3" t="s">
        <v>172</v>
      </c>
      <c r="C36" s="12" t="n">
        <f aca="false">Liquidez!$C$21+(-Supuestos!$C$24+C$9)+(-Proyectos!$T$12+C$10)</f>
        <v>3796139.64514174</v>
      </c>
      <c r="D36" s="12" t="n">
        <f aca="false">Liquidez!$C$21+(-Supuestos!$C$24+D$9)+(-Proyectos!$T$12+D$10)</f>
        <v>4556139.64514174</v>
      </c>
      <c r="E36" s="37" t="n">
        <f aca="false">Liquidez!$C$21+(-Supuestos!$C$24+E$9)+(-Proyectos!$T$12+E$10)</f>
        <v>5696139.64514174</v>
      </c>
      <c r="G36" s="12" t="n">
        <f aca="false">E36-C36</f>
        <v>1900000</v>
      </c>
    </row>
    <row r="37" customFormat="false" ht="15" hidden="false" customHeight="false" outlineLevel="0" collapsed="false">
      <c r="A37" s="9" t="s">
        <v>173</v>
      </c>
      <c r="B37" s="3" t="s">
        <v>174</v>
      </c>
      <c r="C37" s="12" t="n">
        <f aca="false">Liquidez!$B$41+(-Supuestos!$C$24+C$9)+(-Proyectos!$T$12+C$10)</f>
        <v>9586644.64514174</v>
      </c>
      <c r="D37" s="12" t="n">
        <f aca="false">Liquidez!$B$41+(-Supuestos!$C$24+D$9)+(-Proyectos!$T$12+D$10)</f>
        <v>10346644.6451417</v>
      </c>
      <c r="E37" s="37" t="n">
        <f aca="false">Liquidez!$B$41+(-Supuestos!$C$24+E$9)+(-Proyectos!$T$12+E$10)</f>
        <v>11486644.6451417</v>
      </c>
      <c r="G37" s="12" t="n">
        <f aca="false">E37-C37</f>
        <v>1900000</v>
      </c>
    </row>
    <row r="38" customFormat="false" ht="15" hidden="false" customHeight="false" outlineLevel="0" collapsed="false">
      <c r="A38" s="19" t="s">
        <v>92</v>
      </c>
      <c r="B38" s="3" t="s">
        <v>93</v>
      </c>
      <c r="C38" s="20" t="n">
        <f aca="false">Liquidez!$C$31+(-Supuestos!$C$24+C$9)+(-Proyectos!$T$12+C$10)</f>
        <v>3783892.64514174</v>
      </c>
      <c r="D38" s="20" t="n">
        <f aca="false">Liquidez!$C$31+(-Supuestos!$C$24+D$9)+(-Proyectos!$T$12+D$10)</f>
        <v>4543892.64514174</v>
      </c>
      <c r="E38" s="21" t="n">
        <f aca="false">Liquidez!$C$31+(-Supuestos!$C$24+E$9)+(-Proyectos!$T$12+E$10)</f>
        <v>5683892.64514174</v>
      </c>
      <c r="G38" s="20" t="n">
        <f aca="false">E38-C38</f>
        <v>1900000</v>
      </c>
    </row>
    <row r="39" customFormat="false" ht="15" hidden="false" customHeight="false" outlineLevel="0" collapsed="false">
      <c r="A39" s="9" t="s">
        <v>175</v>
      </c>
      <c r="B39" s="3" t="s">
        <v>176</v>
      </c>
      <c r="C39" s="31" t="n">
        <f aca="false">C38/Liquidez!$C$34</f>
        <v>1.12612515492254</v>
      </c>
      <c r="D39" s="31" t="n">
        <f aca="false">D38/Liquidez!$C$34</f>
        <v>1.35230892861918</v>
      </c>
      <c r="E39" s="38" t="n">
        <f aca="false">E38/Liquidez!$C$34</f>
        <v>1.69158458916414</v>
      </c>
      <c r="G39" s="31" t="n">
        <f aca="false">E39-C39</f>
        <v>0.565459434241606</v>
      </c>
    </row>
    <row r="40" customFormat="false" ht="15" hidden="false" customHeight="false" outlineLevel="0" collapsed="false">
      <c r="A40" s="9" t="s">
        <v>177</v>
      </c>
      <c r="B40" s="3" t="s">
        <v>95</v>
      </c>
      <c r="C40" s="12" t="n">
        <f aca="false">Liquidez!$C$32+(-Supuestos!$C$24+C$9)</f>
        <v>4783225.14921053</v>
      </c>
      <c r="D40" s="12" t="n">
        <f aca="false">Liquidez!$C$32+(-Supuestos!$C$24+D$9)</f>
        <v>5303225.14921053</v>
      </c>
      <c r="E40" s="37" t="n">
        <f aca="false">Liquidez!$C$32+(-Supuestos!$C$24+E$9)</f>
        <v>6083225.14921053</v>
      </c>
      <c r="G40" s="12" t="n">
        <f aca="false">E40-C40</f>
        <v>1300000</v>
      </c>
    </row>
    <row r="41" customFormat="false" ht="15" hidden="false" customHeight="false" outlineLevel="0" collapsed="false">
      <c r="A41" s="9" t="s">
        <v>178</v>
      </c>
      <c r="B41" s="3" t="s">
        <v>179</v>
      </c>
      <c r="C41" s="31" t="n">
        <f aca="false">C40/Liquidez!$C$34</f>
        <v>1.42353672985411</v>
      </c>
      <c r="D41" s="31" t="n">
        <f aca="false">D40/Liquidez!$C$34</f>
        <v>1.57829404869918</v>
      </c>
      <c r="E41" s="38" t="n">
        <f aca="false">E40/Liquidez!$C$34</f>
        <v>1.81043002696679</v>
      </c>
      <c r="G41" s="31" t="n">
        <f aca="false">E41-C41</f>
        <v>0.386893297112678</v>
      </c>
    </row>
    <row r="42" customFormat="false" ht="15" hidden="false" customHeight="false" outlineLevel="0" collapsed="false">
      <c r="A42" s="9" t="s">
        <v>180</v>
      </c>
      <c r="B42" s="3" t="s">
        <v>181</v>
      </c>
      <c r="C42" s="12" t="n">
        <f aca="false">Liquidez!$C$30+(-Supuestos!$C$24+C$9)</f>
        <v>5380625.14921053</v>
      </c>
      <c r="D42" s="12" t="n">
        <f aca="false">Liquidez!$C$30+(-Supuestos!$C$24+D$9)</f>
        <v>5900625.14921053</v>
      </c>
      <c r="E42" s="37" t="n">
        <f aca="false">Liquidez!$C$30+(-Supuestos!$C$24+E$9)</f>
        <v>6680625.14921053</v>
      </c>
      <c r="G42" s="12" t="n">
        <f aca="false">E42-C42</f>
        <v>1300000</v>
      </c>
    </row>
    <row r="44" customFormat="false" ht="15" hidden="false" customHeight="false" outlineLevel="0" collapsed="false">
      <c r="A44" s="3" t="s">
        <v>182</v>
      </c>
      <c r="B44" s="3" t="s">
        <v>183</v>
      </c>
      <c r="E44" s="22" t="n">
        <f aca="false">IF(AND(E7=1,E8=1),ROUND(E18-Resumen!$E$25,0)+ROUND(E38-Liquidez!$C$31,0)+ROUND(E28-Proyectos!$K$12,0),"n/a")</f>
        <v>0</v>
      </c>
    </row>
    <row r="46" customFormat="false" ht="15" hidden="false" customHeight="false" outlineLevel="0" collapsed="false">
      <c r="A46" s="35" t="s">
        <v>184</v>
      </c>
    </row>
    <row r="47" customFormat="false" ht="15" hidden="false" customHeight="false" outlineLevel="0" collapsed="false">
      <c r="A47" s="9" t="s">
        <v>185</v>
      </c>
    </row>
    <row r="48" customFormat="false" ht="15" hidden="false" customHeight="false" outlineLevel="0" collapsed="false">
      <c r="A48" s="3" t="s">
        <v>186</v>
      </c>
    </row>
    <row r="49" customFormat="false" ht="15" hidden="false" customHeight="false" outlineLevel="0" collapsed="false">
      <c r="A49" s="9" t="s">
        <v>187</v>
      </c>
    </row>
    <row r="50" customFormat="false" ht="15" hidden="false" customHeight="false" outlineLevel="0" collapsed="false">
      <c r="A50" s="3" t="s">
        <v>188</v>
      </c>
    </row>
    <row r="51" customFormat="false" ht="15" hidden="false" customHeight="false" outlineLevel="0" collapsed="false">
      <c r="A51" s="9" t="s">
        <v>189</v>
      </c>
    </row>
    <row r="52" customFormat="false" ht="15" hidden="false" customHeight="false" outlineLevel="0" collapsed="false">
      <c r="A52" s="3" t="s">
        <v>190</v>
      </c>
    </row>
    <row r="53" customFormat="false" ht="15" hidden="false" customHeight="false" outlineLevel="0" collapsed="false">
      <c r="A53" s="9" t="s">
        <v>191</v>
      </c>
    </row>
    <row r="54" customFormat="false" ht="15" hidden="false" customHeight="false" outlineLevel="0" collapsed="false">
      <c r="A54" s="3" t="s">
        <v>192</v>
      </c>
    </row>
    <row r="55" customFormat="false" ht="15" hidden="false" customHeight="false" outlineLevel="0" collapsed="false">
      <c r="A55" s="9" t="s">
        <v>193</v>
      </c>
    </row>
    <row r="56" customFormat="false" ht="15" hidden="false" customHeight="false" outlineLevel="0" collapsed="false">
      <c r="A56" s="3" t="s">
        <v>194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18A8D"/>
    <pageSetUpPr fitToPage="true"/>
  </sheetPr>
  <dimension ref="A1:Y28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5" topLeftCell="D6" activePane="bottomRight" state="frozen"/>
      <selection pane="topLeft" activeCell="A1" activeCellId="0" sqref="A1"/>
      <selection pane="topRight" activeCell="D1" activeCellId="0" sqref="D1"/>
      <selection pane="bottomLeft" activeCell="A6" activeCellId="0" sqref="A6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0"/>
    <col collapsed="false" customWidth="true" hidden="false" outlineLevel="0" max="2" min="2" style="0" width="20"/>
    <col collapsed="false" customWidth="true" hidden="false" outlineLevel="0" max="3" min="3" style="0" width="6"/>
    <col collapsed="false" customWidth="true" hidden="false" outlineLevel="0" max="12" min="4" style="0" width="10.51"/>
    <col collapsed="false" customWidth="true" hidden="false" outlineLevel="0" max="13" min="13" style="0" width="12.5"/>
    <col collapsed="false" customWidth="true" hidden="false" outlineLevel="0" max="16" min="14" style="0" width="11"/>
    <col collapsed="false" customWidth="true" hidden="false" outlineLevel="0" max="17" min="17" style="0" width="12.5"/>
    <col collapsed="false" customWidth="true" hidden="false" outlineLevel="0" max="19" min="18" style="0" width="13"/>
    <col collapsed="false" customWidth="true" hidden="false" outlineLevel="0" max="20" min="20" style="0" width="12"/>
    <col collapsed="false" customWidth="true" hidden="false" outlineLevel="0" max="21" min="21" style="0" width="8"/>
    <col collapsed="false" customWidth="true" hidden="false" outlineLevel="0" max="22" min="22" style="0" width="12.5"/>
    <col collapsed="false" customWidth="true" hidden="false" outlineLevel="0" max="23" min="23" style="0" width="11"/>
    <col collapsed="false" customWidth="true" hidden="false" outlineLevel="0" max="24" min="24" style="0" width="60"/>
    <col collapsed="false" customWidth="true" hidden="false" outlineLevel="0" max="25" min="25" style="0" width="55"/>
  </cols>
  <sheetData>
    <row r="1" customFormat="false" ht="17.35" hidden="false" customHeight="false" outlineLevel="0" collapsed="false">
      <c r="A1" s="1" t="s">
        <v>195</v>
      </c>
    </row>
    <row r="2" customFormat="false" ht="15" hidden="false" customHeight="false" outlineLevel="0" collapsed="false">
      <c r="A2" s="2" t="s">
        <v>196</v>
      </c>
    </row>
    <row r="3" customFormat="false" ht="15" hidden="false" customHeight="false" outlineLevel="0" collapsed="false">
      <c r="A3" s="3" t="s">
        <v>197</v>
      </c>
    </row>
    <row r="5" customFormat="false" ht="36" hidden="false" customHeight="true" outlineLevel="0" collapsed="false">
      <c r="A5" s="4" t="s">
        <v>198</v>
      </c>
      <c r="B5" s="4" t="s">
        <v>199</v>
      </c>
      <c r="C5" s="4" t="s">
        <v>200</v>
      </c>
      <c r="D5" s="4" t="s">
        <v>201</v>
      </c>
      <c r="E5" s="4" t="s">
        <v>202</v>
      </c>
      <c r="F5" s="4" t="s">
        <v>203</v>
      </c>
      <c r="G5" s="4" t="s">
        <v>204</v>
      </c>
      <c r="H5" s="4" t="s">
        <v>205</v>
      </c>
      <c r="I5" s="4" t="s">
        <v>206</v>
      </c>
      <c r="J5" s="4" t="s">
        <v>207</v>
      </c>
      <c r="K5" s="4" t="s">
        <v>208</v>
      </c>
      <c r="L5" s="4" t="s">
        <v>209</v>
      </c>
      <c r="M5" s="4" t="s">
        <v>5</v>
      </c>
      <c r="N5" s="5" t="s">
        <v>210</v>
      </c>
      <c r="O5" s="5" t="s">
        <v>211</v>
      </c>
      <c r="P5" s="5" t="s">
        <v>212</v>
      </c>
      <c r="Q5" s="5" t="s">
        <v>6</v>
      </c>
      <c r="R5" s="5" t="s">
        <v>7</v>
      </c>
      <c r="S5" s="4" t="s">
        <v>8</v>
      </c>
      <c r="T5" s="4" t="s">
        <v>213</v>
      </c>
      <c r="U5" s="4" t="s">
        <v>10</v>
      </c>
      <c r="V5" s="4" t="s">
        <v>214</v>
      </c>
      <c r="W5" s="4" t="s">
        <v>215</v>
      </c>
      <c r="X5" s="4" t="s">
        <v>216</v>
      </c>
      <c r="Y5" s="4" t="s">
        <v>217</v>
      </c>
    </row>
    <row r="6" customFormat="false" ht="15" hidden="false" customHeight="false" outlineLevel="0" collapsed="false">
      <c r="A6" s="24" t="s">
        <v>218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</row>
    <row r="7" customFormat="false" ht="15" hidden="false" customHeight="false" outlineLevel="0" collapsed="false">
      <c r="A7" s="9" t="s">
        <v>219</v>
      </c>
      <c r="B7" s="9" t="s">
        <v>220</v>
      </c>
      <c r="C7" s="9" t="s">
        <v>221</v>
      </c>
      <c r="D7" s="33" t="n">
        <v>4595840</v>
      </c>
      <c r="E7" s="33" t="n">
        <v>362295</v>
      </c>
      <c r="F7" s="33" t="n">
        <v>2705289</v>
      </c>
      <c r="G7" s="33" t="n">
        <v>3506722</v>
      </c>
      <c r="H7" s="33" t="n">
        <v>1525707</v>
      </c>
      <c r="I7" s="33" t="n">
        <v>1821196</v>
      </c>
      <c r="J7" s="33" t="n">
        <v>3407403</v>
      </c>
      <c r="K7" s="33" t="n">
        <v>2313468</v>
      </c>
      <c r="L7" s="33" t="n">
        <v>2516910</v>
      </c>
      <c r="M7" s="12" t="n">
        <f aca="false">SUM(D7:L7)</f>
        <v>22754830</v>
      </c>
      <c r="N7" s="11" t="n">
        <f aca="false">$J7+$J15</f>
        <v>3093995</v>
      </c>
      <c r="O7" s="11" t="n">
        <f aca="false">$K7+$K15</f>
        <v>2647307</v>
      </c>
      <c r="P7" s="11" t="n">
        <f aca="false">$L7+$L15+Supuestos!$C$24</f>
        <v>3727643</v>
      </c>
      <c r="Q7" s="37" t="n">
        <f aca="false">SUM(N7:P7)</f>
        <v>9468945</v>
      </c>
      <c r="R7" s="21" t="n">
        <f aca="false">M7+Q7</f>
        <v>32223775</v>
      </c>
      <c r="S7" s="10" t="n">
        <f aca="false">IF(COUNTIF('Presupuesto 2026'!$B:$B,$A7)=0,"",SUMIF('Presupuesto 2026'!$B:$B,$A7,'Presupuesto 2026'!$D:$D))</f>
        <v>32913215.1</v>
      </c>
      <c r="T7" s="12" t="n">
        <f aca="false">IF(S7="","",R7-S7)</f>
        <v>-689440.100000002</v>
      </c>
      <c r="U7" s="13" t="n">
        <f aca="false">IF(S7="","",IF(S7=0,"",T7/S7))</f>
        <v>-0.0209472121731432</v>
      </c>
      <c r="V7" s="33" t="n">
        <v>30575964</v>
      </c>
      <c r="X7" s="9" t="s">
        <v>222</v>
      </c>
      <c r="Y7" s="3" t="s">
        <v>223</v>
      </c>
    </row>
    <row r="8" customFormat="false" ht="15" hidden="false" customHeight="false" outlineLevel="0" collapsed="false">
      <c r="A8" s="9" t="s">
        <v>224</v>
      </c>
      <c r="B8" s="9" t="s">
        <v>225</v>
      </c>
      <c r="C8" s="9" t="s">
        <v>221</v>
      </c>
      <c r="D8" s="33" t="n">
        <v>826753</v>
      </c>
      <c r="E8" s="33" t="n">
        <v>694686</v>
      </c>
      <c r="F8" s="33" t="n">
        <v>648662</v>
      </c>
      <c r="G8" s="33" t="n">
        <v>217710</v>
      </c>
      <c r="H8" s="33" t="n">
        <v>153254</v>
      </c>
      <c r="I8" s="33" t="n">
        <v>57378</v>
      </c>
      <c r="J8" s="33" t="n">
        <v>130946</v>
      </c>
      <c r="K8" s="33" t="n">
        <v>112247</v>
      </c>
      <c r="L8" s="33" t="n">
        <v>153233</v>
      </c>
      <c r="M8" s="12" t="n">
        <f aca="false">SUM(D8:L8)</f>
        <v>2994869</v>
      </c>
      <c r="N8" s="37" t="n">
        <f aca="false">AVERAGE($J8:$L8)</f>
        <v>132142</v>
      </c>
      <c r="O8" s="37" t="n">
        <f aca="false">AVERAGE($J8:$L8)</f>
        <v>132142</v>
      </c>
      <c r="P8" s="37" t="n">
        <f aca="false">AVERAGE($J8:$L8)</f>
        <v>132142</v>
      </c>
      <c r="Q8" s="37" t="n">
        <f aca="false">SUM(N8:P8)</f>
        <v>396426</v>
      </c>
      <c r="R8" s="21" t="n">
        <f aca="false">M8+Q8</f>
        <v>3391295</v>
      </c>
      <c r="S8" s="10" t="n">
        <f aca="false">IF(COUNTIF('Presupuesto 2026'!$B:$B,$A8)=0,"",SUMIF('Presupuesto 2026'!$B:$B,$A8,'Presupuesto 2026'!$D:$D))</f>
        <v>3000000</v>
      </c>
      <c r="T8" s="12" t="n">
        <f aca="false">IF(S8="","",R8-S8)</f>
        <v>391295</v>
      </c>
      <c r="U8" s="13" t="n">
        <f aca="false">IF(S8="","",IF(S8=0,"",T8/S8))</f>
        <v>0.130431666666667</v>
      </c>
      <c r="V8" s="33" t="n">
        <v>5742948</v>
      </c>
      <c r="X8" s="9" t="s">
        <v>226</v>
      </c>
      <c r="Y8" s="3" t="s">
        <v>227</v>
      </c>
    </row>
    <row r="9" customFormat="false" ht="15" hidden="false" customHeight="false" outlineLevel="0" collapsed="false">
      <c r="A9" s="9" t="s">
        <v>228</v>
      </c>
      <c r="B9" s="9" t="s">
        <v>17</v>
      </c>
      <c r="C9" s="9" t="s">
        <v>221</v>
      </c>
      <c r="D9" s="33" t="n">
        <v>0</v>
      </c>
      <c r="E9" s="33" t="n">
        <v>27760</v>
      </c>
      <c r="F9" s="33" t="n">
        <v>0</v>
      </c>
      <c r="G9" s="33" t="n">
        <v>454128</v>
      </c>
      <c r="H9" s="33" t="n">
        <v>34989</v>
      </c>
      <c r="I9" s="33" t="n">
        <v>99318</v>
      </c>
      <c r="J9" s="33" t="n">
        <v>375141</v>
      </c>
      <c r="K9" s="33" t="n">
        <v>0</v>
      </c>
      <c r="L9" s="33" t="n">
        <v>16115</v>
      </c>
      <c r="M9" s="12" t="n">
        <f aca="false">SUM(D9:L9)</f>
        <v>1007451</v>
      </c>
      <c r="N9" s="37" t="n">
        <f aca="false">AVERAGE($D9:$L9)</f>
        <v>111939</v>
      </c>
      <c r="O9" s="37" t="n">
        <f aca="false">AVERAGE($D9:$L9)</f>
        <v>111939</v>
      </c>
      <c r="P9" s="37" t="n">
        <f aca="false">AVERAGE($D9:$L9)</f>
        <v>111939</v>
      </c>
      <c r="Q9" s="37" t="n">
        <f aca="false">SUM(N9:P9)</f>
        <v>335817</v>
      </c>
      <c r="R9" s="21" t="n">
        <f aca="false">M9+Q9</f>
        <v>1343268</v>
      </c>
      <c r="S9" s="10" t="n">
        <f aca="false">IF(COUNTIF('Presupuesto 2026'!$B:$B,$A9)=0,"",SUMIF('Presupuesto 2026'!$B:$B,$A9,'Presupuesto 2026'!$D:$D))</f>
        <v>1000000</v>
      </c>
      <c r="T9" s="12" t="n">
        <f aca="false">IF(S9="","",R9-S9)</f>
        <v>343268</v>
      </c>
      <c r="U9" s="13" t="n">
        <f aca="false">IF(S9="","",IF(S9=0,"",T9/S9))</f>
        <v>0.343268</v>
      </c>
      <c r="V9" s="33" t="n">
        <v>2330477</v>
      </c>
      <c r="X9" s="9" t="s">
        <v>229</v>
      </c>
      <c r="Y9" s="3" t="s">
        <v>230</v>
      </c>
    </row>
    <row r="10" customFormat="false" ht="15" hidden="false" customHeight="false" outlineLevel="0" collapsed="false">
      <c r="A10" s="9" t="s">
        <v>231</v>
      </c>
      <c r="B10" s="9" t="s">
        <v>232</v>
      </c>
      <c r="C10" s="9" t="s">
        <v>221</v>
      </c>
      <c r="D10" s="33" t="n">
        <v>0</v>
      </c>
      <c r="E10" s="33" t="n">
        <v>0</v>
      </c>
      <c r="F10" s="33" t="n">
        <v>0</v>
      </c>
      <c r="G10" s="33" t="n">
        <v>0</v>
      </c>
      <c r="H10" s="33" t="n">
        <v>0</v>
      </c>
      <c r="I10" s="33" t="n">
        <v>21516</v>
      </c>
      <c r="J10" s="33" t="n">
        <v>168287</v>
      </c>
      <c r="K10" s="33" t="n">
        <v>146280</v>
      </c>
      <c r="L10" s="33" t="n">
        <v>128667</v>
      </c>
      <c r="M10" s="12" t="n">
        <f aca="false">SUM(D10:L10)</f>
        <v>464750</v>
      </c>
      <c r="N10" s="37" t="n">
        <f aca="false">$J10</f>
        <v>168287</v>
      </c>
      <c r="O10" s="37" t="n">
        <f aca="false">$K10</f>
        <v>146280</v>
      </c>
      <c r="P10" s="37" t="n">
        <f aca="false">$L10</f>
        <v>128667</v>
      </c>
      <c r="Q10" s="37" t="n">
        <f aca="false">SUM(N10:P10)</f>
        <v>443234</v>
      </c>
      <c r="R10" s="21" t="n">
        <f aca="false">M10+Q10</f>
        <v>907984</v>
      </c>
      <c r="S10" s="10" t="str">
        <f aca="false">IF(COUNTIF('Presupuesto 2026'!$B:$B,$A10)=0,"",SUMIF('Presupuesto 2026'!$B:$B,$A10,'Presupuesto 2026'!$D:$D))</f>
        <v/>
      </c>
      <c r="T10" s="12" t="str">
        <f aca="false">IF(S10="","",R10-S10)</f>
        <v/>
      </c>
      <c r="U10" s="13" t="str">
        <f aca="false">IF(S10="","",IF(S10=0,"",T10/S10))</f>
        <v/>
      </c>
      <c r="X10" s="9" t="s">
        <v>233</v>
      </c>
      <c r="Y10" s="3" t="s">
        <v>234</v>
      </c>
    </row>
    <row r="11" customFormat="false" ht="15" hidden="false" customHeight="false" outlineLevel="0" collapsed="false">
      <c r="A11" s="9" t="s">
        <v>235</v>
      </c>
      <c r="B11" s="9" t="s">
        <v>236</v>
      </c>
      <c r="C11" s="9" t="s">
        <v>237</v>
      </c>
      <c r="D11" s="33" t="n">
        <v>0</v>
      </c>
      <c r="E11" s="33" t="n">
        <v>22363</v>
      </c>
      <c r="F11" s="33" t="n">
        <v>2353291</v>
      </c>
      <c r="G11" s="33" t="n">
        <v>2421055</v>
      </c>
      <c r="H11" s="33" t="n">
        <v>504920</v>
      </c>
      <c r="I11" s="33" t="n">
        <v>317390</v>
      </c>
      <c r="J11" s="33" t="n">
        <v>231055</v>
      </c>
      <c r="K11" s="33" t="n">
        <v>88717</v>
      </c>
      <c r="L11" s="33" t="n">
        <v>149573</v>
      </c>
      <c r="M11" s="12" t="n">
        <f aca="false">SUM(D11:L11)</f>
        <v>6088364</v>
      </c>
      <c r="N11" s="11" t="n">
        <f aca="false">$J11*Supuestos!$C$9</f>
        <v>102878.009285064</v>
      </c>
      <c r="O11" s="11" t="n">
        <f aca="false">$K11*Supuestos!$C$9</f>
        <v>39501.5401083856</v>
      </c>
      <c r="P11" s="11" t="n">
        <f aca="false">$L11*Supuestos!$C$9+Proyectos!$T$7</f>
        <v>260322.331470773</v>
      </c>
      <c r="Q11" s="37" t="n">
        <f aca="false">SUM(N11:P11)</f>
        <v>402701.880864222</v>
      </c>
      <c r="R11" s="21" t="n">
        <f aca="false">M11+Q11</f>
        <v>6491065.88086422</v>
      </c>
      <c r="S11" s="10" t="str">
        <f aca="false">IF(COUNTIF('Presupuesto 2026'!$B:$B,$A11)=0,"",SUMIF('Presupuesto 2026'!$B:$B,$A11,'Presupuesto 2026'!$D:$D))</f>
        <v/>
      </c>
      <c r="T11" s="12" t="str">
        <f aca="false">IF(S11="","",R11-S11)</f>
        <v/>
      </c>
      <c r="U11" s="13" t="str">
        <f aca="false">IF(S11="","",IF(S11=0,"",T11/S11))</f>
        <v/>
      </c>
      <c r="X11" s="9" t="s">
        <v>238</v>
      </c>
      <c r="Y11" s="3" t="s">
        <v>239</v>
      </c>
    </row>
    <row r="12" customFormat="false" ht="15" hidden="false" customHeight="false" outlineLevel="0" collapsed="false">
      <c r="A12" s="9" t="s">
        <v>240</v>
      </c>
      <c r="B12" s="9" t="s">
        <v>236</v>
      </c>
      <c r="C12" s="9" t="s">
        <v>237</v>
      </c>
      <c r="D12" s="33" t="n">
        <v>0</v>
      </c>
      <c r="E12" s="33" t="n">
        <v>0</v>
      </c>
      <c r="F12" s="33" t="n">
        <v>0</v>
      </c>
      <c r="G12" s="33" t="n">
        <v>61201</v>
      </c>
      <c r="H12" s="33" t="n">
        <v>24950</v>
      </c>
      <c r="I12" s="33" t="n">
        <v>19460</v>
      </c>
      <c r="J12" s="33" t="n">
        <v>19128</v>
      </c>
      <c r="K12" s="33" t="n">
        <v>19325</v>
      </c>
      <c r="L12" s="33" t="n">
        <v>5350</v>
      </c>
      <c r="M12" s="12" t="n">
        <f aca="false">SUM(D12:L12)</f>
        <v>149414</v>
      </c>
      <c r="N12" s="11" t="n">
        <f aca="false">$J12*Supuestos!$C$9</f>
        <v>8516.80578911821</v>
      </c>
      <c r="O12" s="11" t="n">
        <f aca="false">$K12*Supuestos!$C$9</f>
        <v>8604.52069608476</v>
      </c>
      <c r="P12" s="11" t="n">
        <f aca="false">$L12*Supuestos!$C$9+Proyectos!$T$9</f>
        <v>21884.6641241048</v>
      </c>
      <c r="Q12" s="37" t="n">
        <f aca="false">SUM(N12:P12)</f>
        <v>39005.9906093078</v>
      </c>
      <c r="R12" s="21" t="n">
        <f aca="false">M12+Q12</f>
        <v>188419.990609308</v>
      </c>
      <c r="S12" s="10" t="str">
        <f aca="false">IF(COUNTIF('Presupuesto 2026'!$B:$B,$A12)=0,"",SUMIF('Presupuesto 2026'!$B:$B,$A12,'Presupuesto 2026'!$D:$D))</f>
        <v/>
      </c>
      <c r="T12" s="12" t="str">
        <f aca="false">IF(S12="","",R12-S12)</f>
        <v/>
      </c>
      <c r="U12" s="13" t="str">
        <f aca="false">IF(S12="","",IF(S12=0,"",T12/S12))</f>
        <v/>
      </c>
      <c r="X12" s="9" t="s">
        <v>238</v>
      </c>
      <c r="Y12" s="3" t="s">
        <v>239</v>
      </c>
    </row>
    <row r="13" customFormat="false" ht="15" hidden="false" customHeight="false" outlineLevel="0" collapsed="false">
      <c r="A13" s="9" t="s">
        <v>241</v>
      </c>
      <c r="B13" s="9" t="s">
        <v>236</v>
      </c>
      <c r="C13" s="9" t="s">
        <v>237</v>
      </c>
      <c r="D13" s="33" t="n">
        <v>0</v>
      </c>
      <c r="E13" s="33" t="n">
        <v>0</v>
      </c>
      <c r="F13" s="33" t="n">
        <v>0</v>
      </c>
      <c r="G13" s="33" t="n">
        <v>622044</v>
      </c>
      <c r="H13" s="33" t="n">
        <v>250521</v>
      </c>
      <c r="I13" s="33" t="n">
        <v>166996</v>
      </c>
      <c r="J13" s="33" t="n">
        <v>229113</v>
      </c>
      <c r="K13" s="33" t="n">
        <v>194818</v>
      </c>
      <c r="L13" s="33" t="n">
        <v>54356</v>
      </c>
      <c r="M13" s="12" t="n">
        <f aca="false">SUM(D13:L13)</f>
        <v>1517848</v>
      </c>
      <c r="N13" s="11" t="n">
        <f aca="false">$J13*Supuestos!$C$9</f>
        <v>102013.327308775</v>
      </c>
      <c r="O13" s="11" t="n">
        <f aca="false">$K13*Supuestos!$C$9</f>
        <v>86743.3641899012</v>
      </c>
      <c r="P13" s="11" t="n">
        <f aca="false">$L13*Supuestos!$C$9+Proyectos!$T$8</f>
        <v>296900.085944372</v>
      </c>
      <c r="Q13" s="37" t="n">
        <f aca="false">SUM(N13:P13)</f>
        <v>485656.777443048</v>
      </c>
      <c r="R13" s="21" t="n">
        <f aca="false">M13+Q13</f>
        <v>2003504.77744305</v>
      </c>
      <c r="S13" s="10" t="str">
        <f aca="false">IF(COUNTIF('Presupuesto 2026'!$B:$B,$A13)=0,"",SUMIF('Presupuesto 2026'!$B:$B,$A13,'Presupuesto 2026'!$D:$D))</f>
        <v/>
      </c>
      <c r="T13" s="12" t="str">
        <f aca="false">IF(S13="","",R13-S13)</f>
        <v/>
      </c>
      <c r="U13" s="13" t="str">
        <f aca="false">IF(S13="","",IF(S13=0,"",T13/S13))</f>
        <v/>
      </c>
      <c r="X13" s="9" t="s">
        <v>238</v>
      </c>
      <c r="Y13" s="3" t="s">
        <v>239</v>
      </c>
    </row>
    <row r="14" customFormat="false" ht="15" hidden="false" customHeight="false" outlineLevel="0" collapsed="false">
      <c r="A14" s="9" t="s">
        <v>242</v>
      </c>
      <c r="B14" s="9" t="s">
        <v>236</v>
      </c>
      <c r="C14" s="9" t="s">
        <v>237</v>
      </c>
      <c r="D14" s="33" t="n">
        <v>0</v>
      </c>
      <c r="E14" s="33" t="n">
        <v>0</v>
      </c>
      <c r="F14" s="33" t="n">
        <v>0</v>
      </c>
      <c r="G14" s="33" t="n">
        <v>239805</v>
      </c>
      <c r="H14" s="33" t="n">
        <v>97804</v>
      </c>
      <c r="I14" s="33" t="n">
        <v>76282</v>
      </c>
      <c r="J14" s="33" t="n">
        <v>75362</v>
      </c>
      <c r="K14" s="33" t="n">
        <v>75754</v>
      </c>
      <c r="L14" s="33" t="n">
        <v>20972</v>
      </c>
      <c r="M14" s="12" t="n">
        <f aca="false">SUM(D14:L14)</f>
        <v>585979</v>
      </c>
      <c r="N14" s="11" t="n">
        <f aca="false">$J14*Supuestos!$C$9</f>
        <v>33555.1818213889</v>
      </c>
      <c r="O14" s="11" t="n">
        <f aca="false">$K14*Supuestos!$C$9</f>
        <v>33729.7211286523</v>
      </c>
      <c r="P14" s="11" t="n">
        <f aca="false">$L14*Supuestos!$C$9+Proyectos!$T$10</f>
        <v>123412.944064591</v>
      </c>
      <c r="Q14" s="37" t="n">
        <f aca="false">SUM(N14:P14)</f>
        <v>190697.847014632</v>
      </c>
      <c r="R14" s="21" t="n">
        <f aca="false">M14+Q14</f>
        <v>776676.847014632</v>
      </c>
      <c r="S14" s="10" t="str">
        <f aca="false">IF(COUNTIF('Presupuesto 2026'!$B:$B,$A14)=0,"",SUMIF('Presupuesto 2026'!$B:$B,$A14,'Presupuesto 2026'!$D:$D))</f>
        <v/>
      </c>
      <c r="T14" s="12" t="str">
        <f aca="false">IF(S14="","",R14-S14)</f>
        <v/>
      </c>
      <c r="U14" s="13" t="str">
        <f aca="false">IF(S14="","",IF(S14=0,"",T14/S14))</f>
        <v/>
      </c>
      <c r="X14" s="9" t="s">
        <v>238</v>
      </c>
      <c r="Y14" s="3" t="s">
        <v>239</v>
      </c>
    </row>
    <row r="15" customFormat="false" ht="15" hidden="false" customHeight="false" outlineLevel="0" collapsed="false">
      <c r="A15" s="9" t="s">
        <v>243</v>
      </c>
      <c r="B15" s="9" t="s">
        <v>220</v>
      </c>
      <c r="C15" s="9" t="s">
        <v>221</v>
      </c>
      <c r="D15" s="33" t="n">
        <v>387017</v>
      </c>
      <c r="E15" s="33" t="n">
        <v>410318</v>
      </c>
      <c r="F15" s="33" t="n">
        <v>-330809</v>
      </c>
      <c r="G15" s="33" t="n">
        <v>496232</v>
      </c>
      <c r="H15" s="33" t="n">
        <v>181514</v>
      </c>
      <c r="I15" s="33" t="n">
        <v>-142643</v>
      </c>
      <c r="J15" s="33" t="n">
        <v>-313408</v>
      </c>
      <c r="K15" s="33" t="n">
        <v>333839</v>
      </c>
      <c r="L15" s="33" t="n">
        <v>-89267</v>
      </c>
      <c r="M15" s="12" t="n">
        <f aca="false">SUM(D15:L15)</f>
        <v>932793</v>
      </c>
      <c r="N15" s="37" t="n">
        <f aca="false">0</f>
        <v>0</v>
      </c>
      <c r="O15" s="37" t="n">
        <f aca="false">0</f>
        <v>0</v>
      </c>
      <c r="P15" s="37" t="n">
        <f aca="false">0</f>
        <v>0</v>
      </c>
      <c r="Q15" s="37" t="n">
        <f aca="false">SUM(N15:P15)</f>
        <v>0</v>
      </c>
      <c r="R15" s="21" t="n">
        <f aca="false">M15+Q15</f>
        <v>932793</v>
      </c>
      <c r="S15" s="10" t="n">
        <f aca="false">IF(COUNTIF('Presupuesto 2026'!$B:$B,$A15)=0,"",SUMIF('Presupuesto 2026'!$B:$B,$A15,'Presupuesto 2026'!$D:$D))</f>
        <v>0</v>
      </c>
      <c r="T15" s="12" t="n">
        <f aca="false">IF(S15="","",R15-S15)</f>
        <v>932793</v>
      </c>
      <c r="U15" s="13" t="str">
        <f aca="false">IF(S15="","",IF(S15=0,"",T15/S15))</f>
        <v/>
      </c>
      <c r="V15" s="33" t="n">
        <v>-1</v>
      </c>
      <c r="X15" s="9" t="s">
        <v>244</v>
      </c>
      <c r="Y15" s="3" t="s">
        <v>245</v>
      </c>
    </row>
    <row r="16" customFormat="false" ht="15" hidden="false" customHeight="false" outlineLevel="0" collapsed="false">
      <c r="A16" s="9" t="s">
        <v>246</v>
      </c>
      <c r="B16" s="9" t="s">
        <v>247</v>
      </c>
      <c r="C16" s="9" t="s">
        <v>221</v>
      </c>
      <c r="D16" s="33" t="n">
        <v>56430</v>
      </c>
      <c r="E16" s="33" t="n">
        <v>49155</v>
      </c>
      <c r="F16" s="33" t="n">
        <v>54585</v>
      </c>
      <c r="G16" s="33" t="n">
        <v>49620</v>
      </c>
      <c r="H16" s="33" t="n">
        <v>55530</v>
      </c>
      <c r="I16" s="33" t="n">
        <v>51600</v>
      </c>
      <c r="J16" s="33" t="n">
        <v>59300</v>
      </c>
      <c r="K16" s="33" t="n">
        <v>52290</v>
      </c>
      <c r="L16" s="33" t="n">
        <v>52280</v>
      </c>
      <c r="M16" s="12" t="n">
        <f aca="false">SUM(D16:L16)</f>
        <v>480790</v>
      </c>
      <c r="N16" s="37" t="n">
        <f aca="false">AVERAGE($G16:$L16)</f>
        <v>53436.6666666667</v>
      </c>
      <c r="O16" s="37" t="n">
        <f aca="false">AVERAGE($G16:$L16)</f>
        <v>53436.6666666667</v>
      </c>
      <c r="P16" s="37" t="n">
        <f aca="false">AVERAGE($G16:$L16)</f>
        <v>53436.6666666667</v>
      </c>
      <c r="Q16" s="37" t="n">
        <f aca="false">SUM(N16:P16)</f>
        <v>160310</v>
      </c>
      <c r="R16" s="21" t="n">
        <f aca="false">M16+Q16</f>
        <v>641100</v>
      </c>
      <c r="S16" s="10" t="n">
        <f aca="false">IF(COUNTIF('Presupuesto 2026'!$B:$B,$A16)=0,"",SUMIF('Presupuesto 2026'!$B:$B,$A16,'Presupuesto 2026'!$D:$D))</f>
        <v>750000</v>
      </c>
      <c r="T16" s="12" t="n">
        <f aca="false">IF(S16="","",R16-S16)</f>
        <v>-108900</v>
      </c>
      <c r="U16" s="13" t="n">
        <f aca="false">IF(S16="","",IF(S16=0,"",T16/S16))</f>
        <v>-0.1452</v>
      </c>
      <c r="V16" s="33" t="n">
        <v>720254</v>
      </c>
      <c r="X16" s="9" t="s">
        <v>248</v>
      </c>
      <c r="Y16" s="3" t="s">
        <v>249</v>
      </c>
    </row>
    <row r="17" customFormat="false" ht="15" hidden="false" customHeight="false" outlineLevel="0" collapsed="false">
      <c r="A17" s="9" t="s">
        <v>250</v>
      </c>
      <c r="B17" s="9" t="s">
        <v>247</v>
      </c>
      <c r="C17" s="9" t="s">
        <v>221</v>
      </c>
      <c r="D17" s="33" t="n">
        <v>85669</v>
      </c>
      <c r="E17" s="33" t="n">
        <v>36300</v>
      </c>
      <c r="F17" s="33" t="n">
        <v>45900</v>
      </c>
      <c r="G17" s="33" t="n">
        <v>46800</v>
      </c>
      <c r="H17" s="33" t="n">
        <v>37950</v>
      </c>
      <c r="I17" s="33" t="n">
        <v>33150</v>
      </c>
      <c r="J17" s="33" t="n">
        <v>31200</v>
      </c>
      <c r="K17" s="33" t="n">
        <v>35700</v>
      </c>
      <c r="L17" s="33" t="n">
        <v>25200</v>
      </c>
      <c r="M17" s="12" t="n">
        <f aca="false">SUM(D17:L17)</f>
        <v>377869</v>
      </c>
      <c r="N17" s="37" t="n">
        <f aca="false">AVERAGE($G17:$L17)</f>
        <v>35000</v>
      </c>
      <c r="O17" s="37" t="n">
        <f aca="false">AVERAGE($G17:$L17)</f>
        <v>35000</v>
      </c>
      <c r="P17" s="37" t="n">
        <f aca="false">AVERAGE($G17:$L17)</f>
        <v>35000</v>
      </c>
      <c r="Q17" s="37" t="n">
        <f aca="false">SUM(N17:P17)</f>
        <v>105000</v>
      </c>
      <c r="R17" s="21" t="n">
        <f aca="false">M17+Q17</f>
        <v>482869</v>
      </c>
      <c r="S17" s="10" t="n">
        <f aca="false">IF(COUNTIF('Presupuesto 2026'!$B:$B,$A17)=0,"",SUMIF('Presupuesto 2026'!$B:$B,$A17,'Presupuesto 2026'!$D:$D))</f>
        <v>750000</v>
      </c>
      <c r="T17" s="12" t="n">
        <f aca="false">IF(S17="","",R17-S17)</f>
        <v>-267131</v>
      </c>
      <c r="U17" s="13" t="n">
        <f aca="false">IF(S17="","",IF(S17=0,"",T17/S17))</f>
        <v>-0.356174666666667</v>
      </c>
      <c r="V17" s="33" t="n">
        <v>764322</v>
      </c>
      <c r="X17" s="9" t="s">
        <v>248</v>
      </c>
      <c r="Y17" s="3" t="s">
        <v>249</v>
      </c>
    </row>
    <row r="18" customFormat="false" ht="15" hidden="false" customHeight="false" outlineLevel="0" collapsed="false">
      <c r="A18" s="9" t="s">
        <v>251</v>
      </c>
      <c r="B18" s="9" t="s">
        <v>247</v>
      </c>
      <c r="C18" s="9" t="s">
        <v>221</v>
      </c>
      <c r="D18" s="33" t="n">
        <v>16771</v>
      </c>
      <c r="E18" s="33" t="n">
        <v>18800</v>
      </c>
      <c r="F18" s="33" t="n">
        <v>7425</v>
      </c>
      <c r="G18" s="33" t="n">
        <v>11250</v>
      </c>
      <c r="H18" s="33" t="n">
        <v>9000</v>
      </c>
      <c r="I18" s="33" t="n">
        <v>4125</v>
      </c>
      <c r="J18" s="33" t="n">
        <v>20675</v>
      </c>
      <c r="K18" s="33" t="n">
        <v>24558</v>
      </c>
      <c r="L18" s="33" t="n">
        <v>6500</v>
      </c>
      <c r="M18" s="12" t="n">
        <f aca="false">SUM(D18:L18)</f>
        <v>119104</v>
      </c>
      <c r="N18" s="37" t="n">
        <f aca="false">AVERAGE($G18:$L18)</f>
        <v>12684.6666666667</v>
      </c>
      <c r="O18" s="37" t="n">
        <f aca="false">AVERAGE($G18:$L18)</f>
        <v>12684.6666666667</v>
      </c>
      <c r="P18" s="37" t="n">
        <f aca="false">AVERAGE($G18:$L18)</f>
        <v>12684.6666666667</v>
      </c>
      <c r="Q18" s="37" t="n">
        <f aca="false">SUM(N18:P18)</f>
        <v>38054</v>
      </c>
      <c r="R18" s="21" t="n">
        <f aca="false">M18+Q18</f>
        <v>157158</v>
      </c>
      <c r="S18" s="10" t="n">
        <f aca="false">IF(COUNTIF('Presupuesto 2026'!$B:$B,$A18)=0,"",SUMIF('Presupuesto 2026'!$B:$B,$A18,'Presupuesto 2026'!$D:$D))</f>
        <v>250000</v>
      </c>
      <c r="T18" s="12" t="n">
        <f aca="false">IF(S18="","",R18-S18)</f>
        <v>-92842</v>
      </c>
      <c r="U18" s="13" t="n">
        <f aca="false">IF(S18="","",IF(S18=0,"",T18/S18))</f>
        <v>-0.371368</v>
      </c>
      <c r="V18" s="33" t="n">
        <v>124300</v>
      </c>
      <c r="X18" s="9" t="s">
        <v>248</v>
      </c>
      <c r="Y18" s="3" t="s">
        <v>249</v>
      </c>
    </row>
    <row r="19" customFormat="false" ht="15" hidden="false" customHeight="false" outlineLevel="0" collapsed="false">
      <c r="A19" s="9" t="s">
        <v>252</v>
      </c>
      <c r="B19" s="9" t="s">
        <v>253</v>
      </c>
      <c r="C19" s="9" t="s">
        <v>254</v>
      </c>
      <c r="D19" s="33" t="n">
        <v>0</v>
      </c>
      <c r="E19" s="33" t="n">
        <v>0</v>
      </c>
      <c r="F19" s="33" t="n">
        <v>0</v>
      </c>
      <c r="G19" s="33" t="n">
        <v>0</v>
      </c>
      <c r="H19" s="33" t="n">
        <v>36353</v>
      </c>
      <c r="I19" s="33" t="n">
        <v>40651</v>
      </c>
      <c r="J19" s="33" t="n">
        <v>0</v>
      </c>
      <c r="K19" s="33" t="n">
        <v>1447</v>
      </c>
      <c r="L19" s="33" t="n">
        <v>31500</v>
      </c>
      <c r="M19" s="12" t="n">
        <f aca="false">SUM(D19:L19)</f>
        <v>109951</v>
      </c>
      <c r="N19" s="37" t="n">
        <f aca="false">0</f>
        <v>0</v>
      </c>
      <c r="O19" s="37" t="n">
        <f aca="false">0</f>
        <v>0</v>
      </c>
      <c r="P19" s="37" t="n">
        <f aca="false">0</f>
        <v>0</v>
      </c>
      <c r="Q19" s="37" t="n">
        <f aca="false">SUM(N19:P19)</f>
        <v>0</v>
      </c>
      <c r="R19" s="21" t="n">
        <f aca="false">M19+Q19</f>
        <v>109951</v>
      </c>
      <c r="S19" s="10" t="str">
        <f aca="false">IF(COUNTIF('Presupuesto 2026'!$B:$B,$A19)=0,"",SUMIF('Presupuesto 2026'!$B:$B,$A19,'Presupuesto 2026'!$D:$D))</f>
        <v/>
      </c>
      <c r="T19" s="12" t="str">
        <f aca="false">IF(S19="","",R19-S19)</f>
        <v/>
      </c>
      <c r="U19" s="13" t="str">
        <f aca="false">IF(S19="","",IF(S19=0,"",T19/S19))</f>
        <v/>
      </c>
      <c r="X19" s="9" t="s">
        <v>255</v>
      </c>
      <c r="Y19" s="3" t="s">
        <v>256</v>
      </c>
    </row>
    <row r="20" customFormat="false" ht="15" hidden="false" customHeight="false" outlineLevel="0" collapsed="false">
      <c r="A20" s="9" t="s">
        <v>257</v>
      </c>
      <c r="B20" s="9" t="s">
        <v>236</v>
      </c>
      <c r="C20" s="9" t="s">
        <v>237</v>
      </c>
      <c r="D20" s="33" t="n">
        <v>0</v>
      </c>
      <c r="E20" s="33" t="n">
        <v>0</v>
      </c>
      <c r="F20" s="33" t="n">
        <v>0</v>
      </c>
      <c r="G20" s="33" t="n">
        <v>0</v>
      </c>
      <c r="H20" s="33" t="n">
        <v>0</v>
      </c>
      <c r="I20" s="33" t="n">
        <v>0</v>
      </c>
      <c r="J20" s="33" t="n">
        <v>0</v>
      </c>
      <c r="K20" s="33" t="n">
        <v>0</v>
      </c>
      <c r="L20" s="33" t="n">
        <v>15000</v>
      </c>
      <c r="M20" s="12" t="n">
        <f aca="false">SUM(D20:L20)</f>
        <v>15000</v>
      </c>
      <c r="N20" s="37" t="n">
        <f aca="false">0</f>
        <v>0</v>
      </c>
      <c r="O20" s="37" t="n">
        <f aca="false">0</f>
        <v>0</v>
      </c>
      <c r="P20" s="37" t="n">
        <f aca="false">0</f>
        <v>0</v>
      </c>
      <c r="Q20" s="37" t="n">
        <f aca="false">SUM(N20:P20)</f>
        <v>0</v>
      </c>
      <c r="R20" s="21" t="n">
        <f aca="false">M20+Q20</f>
        <v>15000</v>
      </c>
      <c r="S20" s="10" t="str">
        <f aca="false">IF(COUNTIF('Presupuesto 2026'!$B:$B,$A20)=0,"",SUMIF('Presupuesto 2026'!$B:$B,$A20,'Presupuesto 2026'!$D:$D))</f>
        <v/>
      </c>
      <c r="T20" s="12" t="str">
        <f aca="false">IF(S20="","",R20-S20)</f>
        <v/>
      </c>
      <c r="U20" s="13" t="str">
        <f aca="false">IF(S20="","",IF(S20=0,"",T20/S20))</f>
        <v/>
      </c>
      <c r="X20" s="9" t="s">
        <v>258</v>
      </c>
      <c r="Y20" s="3" t="s">
        <v>259</v>
      </c>
    </row>
    <row r="21" customFormat="false" ht="15" hidden="false" customHeight="false" outlineLevel="0" collapsed="false">
      <c r="A21" s="9" t="s">
        <v>260</v>
      </c>
      <c r="B21" s="9" t="s">
        <v>261</v>
      </c>
      <c r="C21" s="9" t="s">
        <v>221</v>
      </c>
      <c r="D21" s="33" t="n">
        <v>286000</v>
      </c>
      <c r="E21" s="33" t="n">
        <v>114400</v>
      </c>
      <c r="F21" s="33" t="n">
        <v>114400</v>
      </c>
      <c r="G21" s="33" t="n">
        <v>0</v>
      </c>
      <c r="H21" s="33" t="n">
        <v>0</v>
      </c>
      <c r="I21" s="33" t="n">
        <v>57200</v>
      </c>
      <c r="J21" s="33" t="n">
        <v>57200</v>
      </c>
      <c r="K21" s="33" t="n">
        <v>0</v>
      </c>
      <c r="L21" s="33" t="n">
        <v>0</v>
      </c>
      <c r="M21" s="12" t="n">
        <f aca="false">SUM(D21:L21)</f>
        <v>629200</v>
      </c>
      <c r="N21" s="11" t="n">
        <f aca="false">Supuestos!$C$7</f>
        <v>57200</v>
      </c>
      <c r="O21" s="11" t="n">
        <f aca="false">Supuestos!$C$7</f>
        <v>57200</v>
      </c>
      <c r="P21" s="11" t="n">
        <f aca="false">Supuestos!$C$7</f>
        <v>57200</v>
      </c>
      <c r="Q21" s="37" t="n">
        <f aca="false">SUM(N21:P21)</f>
        <v>171600</v>
      </c>
      <c r="R21" s="21" t="n">
        <f aca="false">M21+Q21</f>
        <v>800800</v>
      </c>
      <c r="S21" s="10" t="n">
        <f aca="false">IF(COUNTIF('Presupuesto 2026'!$B:$B,$A21)=0,"",SUMIF('Presupuesto 2026'!$B:$B,$A21,'Presupuesto 2026'!$D:$D))</f>
        <v>686400</v>
      </c>
      <c r="T21" s="12" t="n">
        <f aca="false">IF(S21="","",R21-S21)</f>
        <v>114400</v>
      </c>
      <c r="U21" s="13" t="n">
        <f aca="false">IF(S21="","",IF(S21=0,"",T21/S21))</f>
        <v>0.166666666666667</v>
      </c>
      <c r="V21" s="33" t="n">
        <v>457600</v>
      </c>
      <c r="X21" s="9" t="s">
        <v>262</v>
      </c>
      <c r="Y21" s="3" t="s">
        <v>263</v>
      </c>
    </row>
    <row r="22" customFormat="false" ht="15" hidden="false" customHeight="false" outlineLevel="0" collapsed="false">
      <c r="A22" s="9" t="s">
        <v>264</v>
      </c>
      <c r="B22" s="9" t="s">
        <v>261</v>
      </c>
      <c r="C22" s="9" t="s">
        <v>221</v>
      </c>
      <c r="D22" s="33" t="n">
        <v>42585</v>
      </c>
      <c r="E22" s="33" t="n">
        <v>116398</v>
      </c>
      <c r="F22" s="33" t="n">
        <v>93514</v>
      </c>
      <c r="G22" s="33" t="n">
        <v>0</v>
      </c>
      <c r="H22" s="33" t="n">
        <v>0</v>
      </c>
      <c r="I22" s="33" t="n">
        <v>26366</v>
      </c>
      <c r="J22" s="33" t="n">
        <v>17969</v>
      </c>
      <c r="K22" s="33" t="n">
        <v>0</v>
      </c>
      <c r="L22" s="33" t="n">
        <v>0</v>
      </c>
      <c r="M22" s="12" t="n">
        <f aca="false">SUM(D22:L22)</f>
        <v>296832</v>
      </c>
      <c r="N22" s="11" t="n">
        <f aca="false">Supuestos!$C$8</f>
        <v>13423.75</v>
      </c>
      <c r="O22" s="11" t="n">
        <f aca="false">Supuestos!$C$8</f>
        <v>13423.75</v>
      </c>
      <c r="P22" s="11" t="n">
        <f aca="false">Supuestos!$C$8</f>
        <v>13423.75</v>
      </c>
      <c r="Q22" s="37" t="n">
        <f aca="false">SUM(N22:P22)</f>
        <v>40271.25</v>
      </c>
      <c r="R22" s="21" t="n">
        <f aca="false">M22+Q22</f>
        <v>337103.25</v>
      </c>
      <c r="S22" s="10" t="n">
        <f aca="false">IF(COUNTIF('Presupuesto 2026'!$B:$B,$A22)=0,"",SUMIF('Presupuesto 2026'!$B:$B,$A22,'Presupuesto 2026'!$D:$D))</f>
        <v>161076</v>
      </c>
      <c r="T22" s="12" t="n">
        <f aca="false">IF(S22="","",R22-S22)</f>
        <v>176027.25</v>
      </c>
      <c r="U22" s="13" t="n">
        <f aca="false">IF(S22="","",IF(S22=0,"",T22/S22))</f>
        <v>1.09282109066528</v>
      </c>
      <c r="V22" s="33" t="n">
        <v>158620</v>
      </c>
      <c r="X22" s="9" t="s">
        <v>265</v>
      </c>
      <c r="Y22" s="3" t="s">
        <v>266</v>
      </c>
    </row>
    <row r="23" customFormat="false" ht="15" hidden="false" customHeight="false" outlineLevel="0" collapsed="false">
      <c r="A23" s="9" t="s">
        <v>267</v>
      </c>
      <c r="B23" s="9" t="s">
        <v>268</v>
      </c>
      <c r="C23" s="9" t="s">
        <v>221</v>
      </c>
      <c r="D23" s="33" t="n">
        <v>0</v>
      </c>
      <c r="E23" s="33" t="n">
        <v>0</v>
      </c>
      <c r="F23" s="33" t="n">
        <v>0</v>
      </c>
      <c r="G23" s="33" t="n">
        <v>0</v>
      </c>
      <c r="H23" s="33" t="n">
        <v>81</v>
      </c>
      <c r="I23" s="33" t="n">
        <v>2850</v>
      </c>
      <c r="J23" s="33" t="n">
        <v>0</v>
      </c>
      <c r="K23" s="33" t="n">
        <v>69</v>
      </c>
      <c r="L23" s="33" t="n">
        <v>71</v>
      </c>
      <c r="M23" s="12" t="n">
        <f aca="false">SUM(D23:L23)</f>
        <v>3071</v>
      </c>
      <c r="N23" s="37" t="n">
        <f aca="false">AVERAGE($G23:$L23)</f>
        <v>511.833333333333</v>
      </c>
      <c r="O23" s="37" t="n">
        <f aca="false">AVERAGE($G23:$L23)</f>
        <v>511.833333333333</v>
      </c>
      <c r="P23" s="37" t="n">
        <f aca="false">AVERAGE($G23:$L23)</f>
        <v>511.833333333333</v>
      </c>
      <c r="Q23" s="37" t="n">
        <f aca="false">SUM(N23:P23)</f>
        <v>1535.5</v>
      </c>
      <c r="R23" s="21" t="n">
        <f aca="false">M23+Q23</f>
        <v>4606.5</v>
      </c>
      <c r="S23" s="10" t="n">
        <f aca="false">IF(COUNTIF('Presupuesto 2026'!$B:$B,$A23)=0,"",SUMIF('Presupuesto 2026'!$B:$B,$A23,'Presupuesto 2026'!$D:$D))</f>
        <v>0</v>
      </c>
      <c r="T23" s="12" t="n">
        <f aca="false">IF(S23="","",R23-S23)</f>
        <v>4606.5</v>
      </c>
      <c r="U23" s="13" t="str">
        <f aca="false">IF(S23="","",IF(S23=0,"",T23/S23))</f>
        <v/>
      </c>
      <c r="V23" s="33" t="n">
        <v>26022</v>
      </c>
      <c r="X23" s="9" t="s">
        <v>248</v>
      </c>
      <c r="Y23" s="3" t="s">
        <v>249</v>
      </c>
    </row>
    <row r="24" customFormat="false" ht="15" hidden="false" customHeight="false" outlineLevel="0" collapsed="false">
      <c r="A24" s="9" t="s">
        <v>269</v>
      </c>
      <c r="B24" s="9" t="s">
        <v>268</v>
      </c>
      <c r="C24" s="9" t="s">
        <v>221</v>
      </c>
      <c r="D24" s="33" t="n">
        <v>79</v>
      </c>
      <c r="E24" s="33" t="n">
        <v>94</v>
      </c>
      <c r="F24" s="33" t="n">
        <v>79</v>
      </c>
      <c r="G24" s="33" t="n">
        <v>73</v>
      </c>
      <c r="H24" s="33" t="n">
        <v>0</v>
      </c>
      <c r="I24" s="33" t="n">
        <v>0</v>
      </c>
      <c r="J24" s="33" t="n">
        <v>62</v>
      </c>
      <c r="K24" s="33" t="n">
        <v>0</v>
      </c>
      <c r="L24" s="33" t="n">
        <v>0</v>
      </c>
      <c r="M24" s="12" t="n">
        <f aca="false">SUM(D24:L24)</f>
        <v>387</v>
      </c>
      <c r="N24" s="37" t="n">
        <f aca="false">AVERAGE($G24:$L24)</f>
        <v>22.5</v>
      </c>
      <c r="O24" s="37" t="n">
        <f aca="false">AVERAGE($G24:$L24)</f>
        <v>22.5</v>
      </c>
      <c r="P24" s="37" t="n">
        <f aca="false">AVERAGE($G24:$L24)</f>
        <v>22.5</v>
      </c>
      <c r="Q24" s="37" t="n">
        <f aca="false">SUM(N24:P24)</f>
        <v>67.5</v>
      </c>
      <c r="R24" s="21" t="n">
        <f aca="false">M24+Q24</f>
        <v>454.5</v>
      </c>
      <c r="S24" s="10" t="n">
        <f aca="false">IF(COUNTIF('Presupuesto 2026'!$B:$B,$A24)=0,"",SUMIF('Presupuesto 2026'!$B:$B,$A24,'Presupuesto 2026'!$D:$D))</f>
        <v>0</v>
      </c>
      <c r="T24" s="12" t="n">
        <f aca="false">IF(S24="","",R24-S24)</f>
        <v>454.5</v>
      </c>
      <c r="U24" s="13" t="str">
        <f aca="false">IF(S24="","",IF(S24=0,"",T24/S24))</f>
        <v/>
      </c>
      <c r="V24" s="33" t="n">
        <v>1033</v>
      </c>
      <c r="X24" s="9" t="s">
        <v>248</v>
      </c>
      <c r="Y24" s="3" t="s">
        <v>249</v>
      </c>
    </row>
    <row r="25" customFormat="false" ht="15" hidden="false" customHeight="false" outlineLevel="0" collapsed="false">
      <c r="A25" s="9" t="s">
        <v>270</v>
      </c>
      <c r="B25" s="9" t="s">
        <v>268</v>
      </c>
      <c r="C25" s="9" t="s">
        <v>221</v>
      </c>
      <c r="D25" s="33" t="n">
        <v>-1034</v>
      </c>
      <c r="E25" s="33" t="n">
        <v>-6</v>
      </c>
      <c r="F25" s="33" t="n">
        <v>1139</v>
      </c>
      <c r="G25" s="33" t="n">
        <v>4180</v>
      </c>
      <c r="H25" s="33" t="n">
        <v>3861</v>
      </c>
      <c r="I25" s="33" t="n">
        <v>-192</v>
      </c>
      <c r="J25" s="33" t="n">
        <v>1943</v>
      </c>
      <c r="K25" s="33" t="n">
        <v>4745</v>
      </c>
      <c r="L25" s="33" t="n">
        <v>8419</v>
      </c>
      <c r="M25" s="12" t="n">
        <f aca="false">SUM(D25:L25)</f>
        <v>23055</v>
      </c>
      <c r="N25" s="37" t="n">
        <f aca="false">0</f>
        <v>0</v>
      </c>
      <c r="O25" s="37" t="n">
        <f aca="false">0</f>
        <v>0</v>
      </c>
      <c r="P25" s="37" t="n">
        <f aca="false">0</f>
        <v>0</v>
      </c>
      <c r="Q25" s="37" t="n">
        <f aca="false">SUM(N25:P25)</f>
        <v>0</v>
      </c>
      <c r="R25" s="21" t="n">
        <f aca="false">M25+Q25</f>
        <v>23055</v>
      </c>
      <c r="S25" s="10" t="n">
        <f aca="false">IF(COUNTIF('Presupuesto 2026'!$B:$B,$A25)=0,"",SUMIF('Presupuesto 2026'!$B:$B,$A25,'Presupuesto 2026'!$D:$D))</f>
        <v>0</v>
      </c>
      <c r="T25" s="12" t="n">
        <f aca="false">IF(S25="","",R25-S25)</f>
        <v>23055</v>
      </c>
      <c r="U25" s="13" t="str">
        <f aca="false">IF(S25="","",IF(S25=0,"",T25/S25))</f>
        <v/>
      </c>
      <c r="V25" s="33" t="n">
        <v>-26736</v>
      </c>
      <c r="X25" s="9" t="s">
        <v>271</v>
      </c>
      <c r="Y25" s="3" t="s">
        <v>272</v>
      </c>
    </row>
    <row r="26" customFormat="false" ht="15" hidden="false" customHeight="false" outlineLevel="0" collapsed="false">
      <c r="A26" s="9" t="s">
        <v>273</v>
      </c>
      <c r="B26" s="9" t="s">
        <v>268</v>
      </c>
      <c r="C26" s="9" t="s">
        <v>221</v>
      </c>
      <c r="D26" s="33" t="n">
        <v>-111097</v>
      </c>
      <c r="E26" s="33" t="n">
        <v>492</v>
      </c>
      <c r="F26" s="33" t="n">
        <v>134505</v>
      </c>
      <c r="G26" s="33" t="n">
        <v>-96631</v>
      </c>
      <c r="H26" s="33" t="n">
        <v>-27552</v>
      </c>
      <c r="I26" s="33" t="n">
        <v>29219</v>
      </c>
      <c r="J26" s="33" t="n">
        <v>-23677</v>
      </c>
      <c r="K26" s="33" t="n">
        <v>-49784</v>
      </c>
      <c r="L26" s="33" t="n">
        <v>163295</v>
      </c>
      <c r="M26" s="12" t="n">
        <f aca="false">SUM(D26:L26)</f>
        <v>18770</v>
      </c>
      <c r="N26" s="37" t="n">
        <f aca="false">0</f>
        <v>0</v>
      </c>
      <c r="O26" s="37" t="n">
        <f aca="false">0</f>
        <v>0</v>
      </c>
      <c r="P26" s="37" t="n">
        <f aca="false">0</f>
        <v>0</v>
      </c>
      <c r="Q26" s="37" t="n">
        <f aca="false">SUM(N26:P26)</f>
        <v>0</v>
      </c>
      <c r="R26" s="21" t="n">
        <f aca="false">M26+Q26</f>
        <v>18770</v>
      </c>
      <c r="S26" s="10" t="n">
        <f aca="false">IF(COUNTIF('Presupuesto 2026'!$B:$B,$A26)=0,"",SUMIF('Presupuesto 2026'!$B:$B,$A26,'Presupuesto 2026'!$D:$D))</f>
        <v>0</v>
      </c>
      <c r="T26" s="12" t="n">
        <f aca="false">IF(S26="","",R26-S26)</f>
        <v>18770</v>
      </c>
      <c r="U26" s="13" t="str">
        <f aca="false">IF(S26="","",IF(S26=0,"",T26/S26))</f>
        <v/>
      </c>
      <c r="V26" s="33" t="n">
        <v>-405162</v>
      </c>
      <c r="X26" s="9" t="s">
        <v>271</v>
      </c>
      <c r="Y26" s="3" t="s">
        <v>272</v>
      </c>
    </row>
    <row r="27" customFormat="false" ht="15" hidden="false" customHeight="false" outlineLevel="0" collapsed="false">
      <c r="A27" s="3" t="s">
        <v>274</v>
      </c>
      <c r="V27" s="33" t="n">
        <v>78114</v>
      </c>
      <c r="X27" s="3" t="s">
        <v>275</v>
      </c>
      <c r="Y27" s="3" t="s">
        <v>276</v>
      </c>
    </row>
    <row r="28" customFormat="false" ht="15" hidden="false" customHeight="false" outlineLevel="0" collapsed="false">
      <c r="A28" s="40" t="s">
        <v>277</v>
      </c>
      <c r="B28" s="41"/>
      <c r="C28" s="41"/>
      <c r="D28" s="42" t="n">
        <f aca="false">SUM(D7:D27)</f>
        <v>6185013</v>
      </c>
      <c r="E28" s="42" t="n">
        <f aca="false">SUM(E7:E27)</f>
        <v>1853055</v>
      </c>
      <c r="F28" s="42" t="n">
        <f aca="false">SUM(F7:F27)</f>
        <v>5827980</v>
      </c>
      <c r="G28" s="42" t="n">
        <f aca="false">SUM(G7:G27)</f>
        <v>8034189</v>
      </c>
      <c r="H28" s="42" t="n">
        <f aca="false">SUM(H7:H27)</f>
        <v>2888882</v>
      </c>
      <c r="I28" s="42" t="n">
        <f aca="false">SUM(I7:I27)</f>
        <v>2681862</v>
      </c>
      <c r="J28" s="42" t="n">
        <f aca="false">SUM(J7:J27)</f>
        <v>4487699</v>
      </c>
      <c r="K28" s="42" t="n">
        <f aca="false">SUM(K7:K27)</f>
        <v>3353473</v>
      </c>
      <c r="L28" s="42" t="n">
        <f aca="false">SUM(L7:L27)</f>
        <v>3258174</v>
      </c>
      <c r="M28" s="42" t="n">
        <f aca="false">SUM(M7:M27)</f>
        <v>38570327</v>
      </c>
      <c r="N28" s="42" t="n">
        <f aca="false">SUM(N7:N27)</f>
        <v>3925605.74087101</v>
      </c>
      <c r="O28" s="42" t="n">
        <f aca="false">SUM(O7:O27)</f>
        <v>3378526.56278969</v>
      </c>
      <c r="P28" s="42" t="n">
        <f aca="false">SUM(P7:P27)</f>
        <v>4975190.44227051</v>
      </c>
      <c r="Q28" s="42" t="n">
        <f aca="false">SUM(Q7:Q27)</f>
        <v>12279322.7459312</v>
      </c>
      <c r="R28" s="42" t="n">
        <f aca="false">SUM(R7:R27)</f>
        <v>50849649.7459312</v>
      </c>
      <c r="S28" s="42" t="n">
        <f aca="false">SUM(S7:S27)</f>
        <v>39510691.1</v>
      </c>
      <c r="T28" s="42" t="n">
        <f aca="false">IF(S28="","",R28-S28)</f>
        <v>11338958.6459312</v>
      </c>
      <c r="U28" s="43" t="n">
        <f aca="false">IF(S28="","",IF(S28=0,"",T28/S28))</f>
        <v>0.286984568739452</v>
      </c>
      <c r="V28" s="42" t="n">
        <f aca="false">SUM(V7:V27)</f>
        <v>40547755</v>
      </c>
      <c r="W28" s="41"/>
      <c r="X28" s="44" t="s">
        <v>278</v>
      </c>
      <c r="Y28" s="45" t="s">
        <v>279</v>
      </c>
    </row>
    <row r="30" customFormat="false" ht="15" hidden="false" customHeight="false" outlineLevel="0" collapsed="false">
      <c r="A30" s="24" t="s">
        <v>280</v>
      </c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</row>
    <row r="31" customFormat="false" ht="15" hidden="false" customHeight="false" outlineLevel="0" collapsed="false">
      <c r="A31" s="6" t="s">
        <v>281</v>
      </c>
      <c r="B31" s="7" t="s">
        <v>282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</row>
    <row r="32" customFormat="false" ht="15" hidden="false" customHeight="false" outlineLevel="0" collapsed="false">
      <c r="A32" s="9" t="s">
        <v>283</v>
      </c>
      <c r="B32" s="9" t="s">
        <v>284</v>
      </c>
      <c r="C32" s="9" t="s">
        <v>221</v>
      </c>
      <c r="D32" s="33" t="n">
        <v>1085647</v>
      </c>
      <c r="E32" s="33" t="n">
        <v>1052757</v>
      </c>
      <c r="F32" s="33" t="n">
        <v>927430</v>
      </c>
      <c r="G32" s="33" t="n">
        <v>1054058</v>
      </c>
      <c r="H32" s="33" t="n">
        <v>1020041</v>
      </c>
      <c r="I32" s="33" t="n">
        <v>1025991</v>
      </c>
      <c r="J32" s="33" t="n">
        <v>990882</v>
      </c>
      <c r="K32" s="33" t="n">
        <v>1025991</v>
      </c>
      <c r="L32" s="33" t="n">
        <v>1025991</v>
      </c>
      <c r="M32" s="12" t="n">
        <f aca="false">SUM(D32:L32)</f>
        <v>9208788</v>
      </c>
      <c r="N32" s="11" t="n">
        <f aca="false">Supuestos!$C$6</f>
        <v>1025991</v>
      </c>
      <c r="O32" s="11" t="n">
        <f aca="false">Supuestos!$C$6</f>
        <v>1025991</v>
      </c>
      <c r="P32" s="11" t="n">
        <f aca="false">Supuestos!$C$6</f>
        <v>1025991</v>
      </c>
      <c r="Q32" s="37" t="n">
        <f aca="false">SUM(N32:P32)</f>
        <v>3077973</v>
      </c>
      <c r="R32" s="21" t="n">
        <f aca="false">M32+Q32</f>
        <v>12286761</v>
      </c>
      <c r="S32" s="10" t="n">
        <f aca="false">IF(COUNTIF('Presupuesto 2026'!$B:$B,$A32)=0,"",SUMIF('Presupuesto 2026'!$B:$B,$A32,'Presupuesto 2026'!$D:$D))</f>
        <v>10800000</v>
      </c>
      <c r="T32" s="12" t="n">
        <f aca="false">IF(S32="","",R32-S32)</f>
        <v>1486761</v>
      </c>
      <c r="U32" s="13" t="n">
        <f aca="false">IF(S32="","",IF(S32=0,"",T32/S32))</f>
        <v>0.137663055555556</v>
      </c>
      <c r="V32" s="33" t="n">
        <v>10298517</v>
      </c>
      <c r="X32" s="9" t="s">
        <v>285</v>
      </c>
      <c r="Y32" s="3" t="s">
        <v>286</v>
      </c>
    </row>
    <row r="33" customFormat="false" ht="15" hidden="false" customHeight="false" outlineLevel="0" collapsed="false">
      <c r="A33" s="40" t="s">
        <v>287</v>
      </c>
      <c r="B33" s="41"/>
      <c r="C33" s="41"/>
      <c r="D33" s="42" t="n">
        <f aca="false">SUM(D32:D32)</f>
        <v>1085647</v>
      </c>
      <c r="E33" s="42" t="n">
        <f aca="false">SUM(E32:E32)</f>
        <v>1052757</v>
      </c>
      <c r="F33" s="42" t="n">
        <f aca="false">SUM(F32:F32)</f>
        <v>927430</v>
      </c>
      <c r="G33" s="42" t="n">
        <f aca="false">SUM(G32:G32)</f>
        <v>1054058</v>
      </c>
      <c r="H33" s="42" t="n">
        <f aca="false">SUM(H32:H32)</f>
        <v>1020041</v>
      </c>
      <c r="I33" s="42" t="n">
        <f aca="false">SUM(I32:I32)</f>
        <v>1025991</v>
      </c>
      <c r="J33" s="42" t="n">
        <f aca="false">SUM(J32:J32)</f>
        <v>990882</v>
      </c>
      <c r="K33" s="42" t="n">
        <f aca="false">SUM(K32:K32)</f>
        <v>1025991</v>
      </c>
      <c r="L33" s="42" t="n">
        <f aca="false">SUM(L32:L32)</f>
        <v>1025991</v>
      </c>
      <c r="M33" s="42" t="n">
        <f aca="false">SUM(M32:M32)</f>
        <v>9208788</v>
      </c>
      <c r="N33" s="42" t="n">
        <f aca="false">SUM(N32:N32)</f>
        <v>1025991</v>
      </c>
      <c r="O33" s="42" t="n">
        <f aca="false">SUM(O32:O32)</f>
        <v>1025991</v>
      </c>
      <c r="P33" s="42" t="n">
        <f aca="false">SUM(P32:P32)</f>
        <v>1025991</v>
      </c>
      <c r="Q33" s="42" t="n">
        <f aca="false">SUM(Q32:Q32)</f>
        <v>3077973</v>
      </c>
      <c r="R33" s="42" t="n">
        <f aca="false">SUM(R32:R32)</f>
        <v>12286761</v>
      </c>
      <c r="S33" s="42" t="n">
        <f aca="false">SUM(S32:S32)</f>
        <v>10800000</v>
      </c>
      <c r="T33" s="42" t="n">
        <f aca="false">IF(S33="","",R33-S33)</f>
        <v>1486761</v>
      </c>
      <c r="U33" s="43" t="n">
        <f aca="false">IF(S33="","",IF(S33=0,"",T33/S33))</f>
        <v>0.137663055555556</v>
      </c>
      <c r="V33" s="42" t="n">
        <f aca="false">SUM(V32:V32)</f>
        <v>10298517</v>
      </c>
      <c r="W33" s="41"/>
      <c r="X33" s="41"/>
      <c r="Y33" s="41"/>
    </row>
    <row r="35" customFormat="false" ht="15" hidden="false" customHeight="false" outlineLevel="0" collapsed="false">
      <c r="A35" s="6" t="s">
        <v>288</v>
      </c>
      <c r="B35" s="7" t="s">
        <v>289</v>
      </c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</row>
    <row r="36" customFormat="false" ht="15" hidden="false" customHeight="false" outlineLevel="0" collapsed="false">
      <c r="A36" s="9" t="s">
        <v>290</v>
      </c>
      <c r="B36" s="9" t="s">
        <v>291</v>
      </c>
      <c r="C36" s="9" t="s">
        <v>221</v>
      </c>
      <c r="D36" s="33" t="n">
        <v>88000</v>
      </c>
      <c r="E36" s="33" t="n">
        <v>84440</v>
      </c>
      <c r="F36" s="33" t="n">
        <v>73669</v>
      </c>
      <c r="G36" s="33" t="n">
        <v>111353</v>
      </c>
      <c r="H36" s="33" t="n">
        <v>97569</v>
      </c>
      <c r="I36" s="33" t="n">
        <v>91083</v>
      </c>
      <c r="J36" s="33" t="n">
        <v>85138</v>
      </c>
      <c r="K36" s="33" t="n">
        <v>91083</v>
      </c>
      <c r="L36" s="33" t="n">
        <v>96488</v>
      </c>
      <c r="M36" s="12" t="n">
        <f aca="false">SUM(D36:L36)</f>
        <v>818823</v>
      </c>
      <c r="N36" s="37" t="n">
        <f aca="false">AVERAGE($J36:$L36)</f>
        <v>90903</v>
      </c>
      <c r="O36" s="37" t="n">
        <f aca="false">AVERAGE($J36:$L36)</f>
        <v>90903</v>
      </c>
      <c r="P36" s="37" t="n">
        <f aca="false">AVERAGE($J36:$L36)</f>
        <v>90903</v>
      </c>
      <c r="Q36" s="37" t="n">
        <f aca="false">SUM(N36:P36)</f>
        <v>272709</v>
      </c>
      <c r="R36" s="21" t="n">
        <f aca="false">M36+Q36</f>
        <v>1091532</v>
      </c>
      <c r="T36" s="12" t="str">
        <f aca="false">IF(S36="","",R36-S36)</f>
        <v/>
      </c>
      <c r="U36" s="13" t="str">
        <f aca="false">IF(S36="","",IF(S36=0,"",T36/S36))</f>
        <v/>
      </c>
      <c r="V36" s="33" t="n">
        <v>820712</v>
      </c>
      <c r="X36" s="9" t="s">
        <v>292</v>
      </c>
      <c r="Y36" s="3" t="s">
        <v>293</v>
      </c>
    </row>
    <row r="37" customFormat="false" ht="15" hidden="false" customHeight="false" outlineLevel="0" collapsed="false">
      <c r="A37" s="9" t="s">
        <v>294</v>
      </c>
      <c r="B37" s="9" t="s">
        <v>291</v>
      </c>
      <c r="C37" s="9" t="s">
        <v>221</v>
      </c>
      <c r="D37" s="33" t="n">
        <v>0</v>
      </c>
      <c r="E37" s="33" t="n">
        <v>6051</v>
      </c>
      <c r="F37" s="33" t="n">
        <v>2809</v>
      </c>
      <c r="G37" s="33" t="n">
        <v>6486</v>
      </c>
      <c r="H37" s="33" t="n">
        <v>0</v>
      </c>
      <c r="I37" s="33" t="n">
        <v>6486</v>
      </c>
      <c r="J37" s="33" t="n">
        <v>12972</v>
      </c>
      <c r="K37" s="33" t="n">
        <v>7026</v>
      </c>
      <c r="L37" s="33" t="n">
        <v>0</v>
      </c>
      <c r="M37" s="12" t="n">
        <f aca="false">SUM(D37:L37)</f>
        <v>41830</v>
      </c>
      <c r="N37" s="37" t="n">
        <f aca="false">AVERAGE($G37:$L37)</f>
        <v>5495</v>
      </c>
      <c r="O37" s="37" t="n">
        <f aca="false">AVERAGE($G37:$L37)</f>
        <v>5495</v>
      </c>
      <c r="P37" s="37" t="n">
        <f aca="false">AVERAGE($G37:$L37)</f>
        <v>5495</v>
      </c>
      <c r="Q37" s="37" t="n">
        <f aca="false">SUM(N37:P37)</f>
        <v>16485</v>
      </c>
      <c r="R37" s="21" t="n">
        <f aca="false">M37+Q37</f>
        <v>58315</v>
      </c>
      <c r="T37" s="12" t="str">
        <f aca="false">IF(S37="","",R37-S37)</f>
        <v/>
      </c>
      <c r="U37" s="13" t="str">
        <f aca="false">IF(S37="","",IF(S37=0,"",T37/S37))</f>
        <v/>
      </c>
      <c r="V37" s="33" t="n">
        <v>6091</v>
      </c>
      <c r="X37" s="9" t="s">
        <v>248</v>
      </c>
      <c r="Y37" s="3" t="s">
        <v>249</v>
      </c>
    </row>
    <row r="38" customFormat="false" ht="15" hidden="false" customHeight="false" outlineLevel="0" collapsed="false">
      <c r="A38" s="9" t="s">
        <v>295</v>
      </c>
      <c r="B38" s="9" t="s">
        <v>291</v>
      </c>
      <c r="C38" s="9" t="s">
        <v>221</v>
      </c>
      <c r="D38" s="33" t="n">
        <v>0</v>
      </c>
      <c r="E38" s="33" t="n">
        <v>1513</v>
      </c>
      <c r="F38" s="33" t="n">
        <v>2341</v>
      </c>
      <c r="G38" s="33" t="n">
        <v>1621</v>
      </c>
      <c r="H38" s="33" t="n">
        <v>0</v>
      </c>
      <c r="I38" s="33" t="n">
        <v>1621</v>
      </c>
      <c r="J38" s="33" t="n">
        <v>3243</v>
      </c>
      <c r="K38" s="33" t="n">
        <v>1757</v>
      </c>
      <c r="L38" s="33" t="n">
        <v>0</v>
      </c>
      <c r="M38" s="12" t="n">
        <f aca="false">SUM(D38:L38)</f>
        <v>12096</v>
      </c>
      <c r="N38" s="37" t="n">
        <f aca="false">AVERAGE($G38:$L38)</f>
        <v>1373.66666666667</v>
      </c>
      <c r="O38" s="37" t="n">
        <f aca="false">AVERAGE($G38:$L38)</f>
        <v>1373.66666666667</v>
      </c>
      <c r="P38" s="37" t="n">
        <f aca="false">AVERAGE($G38:$L38)</f>
        <v>1373.66666666667</v>
      </c>
      <c r="Q38" s="37" t="n">
        <f aca="false">SUM(N38:P38)</f>
        <v>4121</v>
      </c>
      <c r="R38" s="21" t="n">
        <f aca="false">M38+Q38</f>
        <v>16217</v>
      </c>
      <c r="T38" s="12" t="str">
        <f aca="false">IF(S38="","",R38-S38)</f>
        <v/>
      </c>
      <c r="U38" s="13" t="str">
        <f aca="false">IF(S38="","",IF(S38=0,"",T38/S38))</f>
        <v/>
      </c>
      <c r="V38" s="33" t="n">
        <v>12178</v>
      </c>
      <c r="X38" s="9" t="s">
        <v>248</v>
      </c>
      <c r="Y38" s="3" t="s">
        <v>249</v>
      </c>
    </row>
    <row r="39" customFormat="false" ht="15" hidden="false" customHeight="false" outlineLevel="0" collapsed="false">
      <c r="A39" s="9" t="s">
        <v>296</v>
      </c>
      <c r="B39" s="9" t="s">
        <v>291</v>
      </c>
      <c r="C39" s="9" t="s">
        <v>221</v>
      </c>
      <c r="D39" s="33" t="n">
        <v>0</v>
      </c>
      <c r="E39" s="33" t="n">
        <v>1008</v>
      </c>
      <c r="F39" s="33" t="n">
        <v>0</v>
      </c>
      <c r="G39" s="33" t="n">
        <v>0</v>
      </c>
      <c r="H39" s="33" t="n">
        <v>0</v>
      </c>
      <c r="I39" s="33" t="n">
        <v>0</v>
      </c>
      <c r="J39" s="33" t="n">
        <v>0</v>
      </c>
      <c r="K39" s="33" t="n">
        <v>0</v>
      </c>
      <c r="L39" s="33" t="n">
        <v>0</v>
      </c>
      <c r="M39" s="12" t="n">
        <f aca="false">SUM(D39:L39)</f>
        <v>1008</v>
      </c>
      <c r="N39" s="37" t="n">
        <f aca="false">0</f>
        <v>0</v>
      </c>
      <c r="O39" s="37" t="n">
        <f aca="false">0</f>
        <v>0</v>
      </c>
      <c r="P39" s="37" t="n">
        <f aca="false">0</f>
        <v>0</v>
      </c>
      <c r="Q39" s="37" t="n">
        <f aca="false">SUM(N39:P39)</f>
        <v>0</v>
      </c>
      <c r="R39" s="21" t="n">
        <f aca="false">M39+Q39</f>
        <v>1008</v>
      </c>
      <c r="T39" s="12" t="str">
        <f aca="false">IF(S39="","",R39-S39)</f>
        <v/>
      </c>
      <c r="U39" s="13" t="str">
        <f aca="false">IF(S39="","",IF(S39=0,"",T39/S39))</f>
        <v/>
      </c>
      <c r="X39" s="9" t="s">
        <v>297</v>
      </c>
      <c r="Y39" s="3" t="s">
        <v>298</v>
      </c>
    </row>
    <row r="40" customFormat="false" ht="15" hidden="false" customHeight="false" outlineLevel="0" collapsed="false">
      <c r="A40" s="9" t="s">
        <v>299</v>
      </c>
      <c r="B40" s="9" t="s">
        <v>291</v>
      </c>
      <c r="C40" s="9" t="s">
        <v>221</v>
      </c>
      <c r="D40" s="33" t="n">
        <v>8575</v>
      </c>
      <c r="E40" s="33" t="n">
        <v>3998</v>
      </c>
      <c r="F40" s="33" t="n">
        <v>1245</v>
      </c>
      <c r="G40" s="33" t="n">
        <v>0</v>
      </c>
      <c r="H40" s="33" t="n">
        <v>0</v>
      </c>
      <c r="I40" s="33" t="n">
        <v>0</v>
      </c>
      <c r="J40" s="33" t="n">
        <v>0</v>
      </c>
      <c r="K40" s="33" t="n">
        <v>0</v>
      </c>
      <c r="L40" s="33" t="n">
        <v>0</v>
      </c>
      <c r="M40" s="12" t="n">
        <f aca="false">SUM(D40:L40)</f>
        <v>13818</v>
      </c>
      <c r="N40" s="37" t="n">
        <f aca="false">0</f>
        <v>0</v>
      </c>
      <c r="O40" s="37" t="n">
        <f aca="false">0</f>
        <v>0</v>
      </c>
      <c r="P40" s="37" t="n">
        <f aca="false">0</f>
        <v>0</v>
      </c>
      <c r="Q40" s="37" t="n">
        <f aca="false">SUM(N40:P40)</f>
        <v>0</v>
      </c>
      <c r="R40" s="21" t="n">
        <f aca="false">M40+Q40</f>
        <v>13818</v>
      </c>
      <c r="T40" s="12" t="str">
        <f aca="false">IF(S40="","",R40-S40)</f>
        <v/>
      </c>
      <c r="U40" s="13" t="str">
        <f aca="false">IF(S40="","",IF(S40=0,"",T40/S40))</f>
        <v/>
      </c>
      <c r="V40" s="33" t="n">
        <v>7500</v>
      </c>
      <c r="X40" s="9" t="s">
        <v>297</v>
      </c>
      <c r="Y40" s="3" t="s">
        <v>298</v>
      </c>
    </row>
    <row r="41" customFormat="false" ht="15" hidden="false" customHeight="false" outlineLevel="0" collapsed="false">
      <c r="A41" s="9" t="s">
        <v>300</v>
      </c>
      <c r="B41" s="9" t="s">
        <v>291</v>
      </c>
      <c r="C41" s="9" t="s">
        <v>221</v>
      </c>
      <c r="D41" s="33" t="n">
        <v>0</v>
      </c>
      <c r="E41" s="33" t="n">
        <v>0</v>
      </c>
      <c r="F41" s="33" t="n">
        <v>0</v>
      </c>
      <c r="G41" s="33" t="n">
        <v>0</v>
      </c>
      <c r="H41" s="33" t="n">
        <v>0</v>
      </c>
      <c r="I41" s="33" t="n">
        <v>0</v>
      </c>
      <c r="J41" s="33" t="n">
        <v>0</v>
      </c>
      <c r="K41" s="33" t="n">
        <v>0</v>
      </c>
      <c r="L41" s="33" t="n">
        <v>13963</v>
      </c>
      <c r="M41" s="12" t="n">
        <f aca="false">SUM(D41:L41)</f>
        <v>13963</v>
      </c>
      <c r="N41" s="11" t="n">
        <f aca="false">0</f>
        <v>0</v>
      </c>
      <c r="O41" s="11" t="n">
        <f aca="false">0</f>
        <v>0</v>
      </c>
      <c r="P41" s="11" t="n">
        <f aca="false">(AVERAGE($J36:$L36)+AVERAGE($J37:$L37))/Supuestos!$C$11*Supuestos!$C$12</f>
        <v>54561.6118421053</v>
      </c>
      <c r="Q41" s="37" t="n">
        <f aca="false">SUM(N41:P41)</f>
        <v>54561.6118421053</v>
      </c>
      <c r="R41" s="21" t="n">
        <f aca="false">M41+Q41</f>
        <v>68524.6118421053</v>
      </c>
      <c r="T41" s="12" t="str">
        <f aca="false">IF(S41="","",R41-S41)</f>
        <v/>
      </c>
      <c r="U41" s="13" t="str">
        <f aca="false">IF(S41="","",IF(S41=0,"",T41/S41))</f>
        <v/>
      </c>
      <c r="V41" s="33" t="n">
        <v>50812</v>
      </c>
      <c r="X41" s="9" t="s">
        <v>301</v>
      </c>
      <c r="Y41" s="3" t="s">
        <v>302</v>
      </c>
    </row>
    <row r="42" customFormat="false" ht="15" hidden="false" customHeight="false" outlineLevel="0" collapsed="false">
      <c r="A42" s="9" t="s">
        <v>303</v>
      </c>
      <c r="B42" s="9" t="s">
        <v>291</v>
      </c>
      <c r="C42" s="9" t="s">
        <v>221</v>
      </c>
      <c r="D42" s="33" t="n">
        <v>1960</v>
      </c>
      <c r="E42" s="33" t="n">
        <v>2520</v>
      </c>
      <c r="F42" s="33" t="n">
        <v>2240</v>
      </c>
      <c r="G42" s="33" t="n">
        <v>3080</v>
      </c>
      <c r="H42" s="33" t="n">
        <v>3080</v>
      </c>
      <c r="I42" s="33" t="n">
        <v>3080</v>
      </c>
      <c r="J42" s="33" t="n">
        <v>3080</v>
      </c>
      <c r="K42" s="33" t="n">
        <v>3080</v>
      </c>
      <c r="L42" s="33" t="n">
        <v>338</v>
      </c>
      <c r="M42" s="12" t="n">
        <f aca="false">SUM(D42:L42)</f>
        <v>22458</v>
      </c>
      <c r="N42" s="37" t="n">
        <f aca="false">AVERAGE($J42:$L42)</f>
        <v>2166</v>
      </c>
      <c r="O42" s="37" t="n">
        <f aca="false">AVERAGE($J42:$L42)</f>
        <v>2166</v>
      </c>
      <c r="P42" s="37" t="n">
        <f aca="false">AVERAGE($J42:$L42)</f>
        <v>2166</v>
      </c>
      <c r="Q42" s="37" t="n">
        <f aca="false">SUM(N42:P42)</f>
        <v>6498</v>
      </c>
      <c r="R42" s="21" t="n">
        <f aca="false">M42+Q42</f>
        <v>28956</v>
      </c>
      <c r="T42" s="12" t="str">
        <f aca="false">IF(S42="","",R42-S42)</f>
        <v/>
      </c>
      <c r="U42" s="13" t="str">
        <f aca="false">IF(S42="","",IF(S42=0,"",T42/S42))</f>
        <v/>
      </c>
      <c r="V42" s="33" t="n">
        <v>22960</v>
      </c>
      <c r="X42" s="9" t="s">
        <v>304</v>
      </c>
      <c r="Y42" s="3" t="s">
        <v>305</v>
      </c>
    </row>
    <row r="43" customFormat="false" ht="15" hidden="false" customHeight="false" outlineLevel="0" collapsed="false">
      <c r="A43" s="9" t="s">
        <v>306</v>
      </c>
      <c r="B43" s="9" t="s">
        <v>291</v>
      </c>
      <c r="C43" s="9" t="s">
        <v>221</v>
      </c>
      <c r="D43" s="33" t="n">
        <v>11440</v>
      </c>
      <c r="E43" s="33" t="n">
        <v>11764</v>
      </c>
      <c r="F43" s="33" t="n">
        <v>9839</v>
      </c>
      <c r="G43" s="33" t="n">
        <v>12754</v>
      </c>
      <c r="H43" s="33" t="n">
        <v>12684</v>
      </c>
      <c r="I43" s="33" t="n">
        <v>12684</v>
      </c>
      <c r="J43" s="33" t="n">
        <v>12754</v>
      </c>
      <c r="K43" s="33" t="n">
        <v>12754</v>
      </c>
      <c r="L43" s="33" t="n">
        <v>14446</v>
      </c>
      <c r="M43" s="12" t="n">
        <f aca="false">SUM(D43:L43)</f>
        <v>111119</v>
      </c>
      <c r="N43" s="37" t="n">
        <f aca="false">AVERAGE($J43:$L43)</f>
        <v>13318</v>
      </c>
      <c r="O43" s="37" t="n">
        <f aca="false">AVERAGE($J43:$L43)</f>
        <v>13318</v>
      </c>
      <c r="P43" s="37" t="n">
        <f aca="false">AVERAGE($J43:$L43)</f>
        <v>13318</v>
      </c>
      <c r="Q43" s="37" t="n">
        <f aca="false">SUM(N43:P43)</f>
        <v>39954</v>
      </c>
      <c r="R43" s="21" t="n">
        <f aca="false">M43+Q43</f>
        <v>151073</v>
      </c>
      <c r="T43" s="12" t="str">
        <f aca="false">IF(S43="","",R43-S43)</f>
        <v/>
      </c>
      <c r="U43" s="13" t="str">
        <f aca="false">IF(S43="","",IF(S43=0,"",T43/S43))</f>
        <v/>
      </c>
      <c r="V43" s="33" t="n">
        <v>95067</v>
      </c>
      <c r="X43" s="9" t="s">
        <v>304</v>
      </c>
      <c r="Y43" s="3" t="s">
        <v>305</v>
      </c>
    </row>
    <row r="44" customFormat="false" ht="15" hidden="false" customHeight="false" outlineLevel="0" collapsed="false">
      <c r="A44" s="9" t="s">
        <v>307</v>
      </c>
      <c r="B44" s="9" t="s">
        <v>291</v>
      </c>
      <c r="C44" s="9" t="s">
        <v>221</v>
      </c>
      <c r="D44" s="33" t="n">
        <v>13198</v>
      </c>
      <c r="E44" s="33" t="n">
        <v>14074</v>
      </c>
      <c r="F44" s="33" t="n">
        <v>11350</v>
      </c>
      <c r="G44" s="33" t="n">
        <v>14715</v>
      </c>
      <c r="H44" s="33" t="n">
        <v>15134</v>
      </c>
      <c r="I44" s="33" t="n">
        <v>14634</v>
      </c>
      <c r="J44" s="33" t="n">
        <v>14715</v>
      </c>
      <c r="K44" s="33" t="n">
        <v>15215</v>
      </c>
      <c r="L44" s="33" t="n">
        <v>14472</v>
      </c>
      <c r="M44" s="12" t="n">
        <f aca="false">SUM(D44:L44)</f>
        <v>127507</v>
      </c>
      <c r="N44" s="37" t="n">
        <f aca="false">AVERAGE($J44:$L44)</f>
        <v>14800.6666666667</v>
      </c>
      <c r="O44" s="37" t="n">
        <f aca="false">AVERAGE($J44:$L44)</f>
        <v>14800.6666666667</v>
      </c>
      <c r="P44" s="37" t="n">
        <f aca="false">AVERAGE($J44:$L44)</f>
        <v>14800.6666666667</v>
      </c>
      <c r="Q44" s="37" t="n">
        <f aca="false">SUM(N44:P44)</f>
        <v>44402</v>
      </c>
      <c r="R44" s="21" t="n">
        <f aca="false">M44+Q44</f>
        <v>171909</v>
      </c>
      <c r="T44" s="12" t="str">
        <f aca="false">IF(S44="","",R44-S44)</f>
        <v/>
      </c>
      <c r="U44" s="13" t="str">
        <f aca="false">IF(S44="","",IF(S44=0,"",T44/S44))</f>
        <v/>
      </c>
      <c r="V44" s="33" t="n">
        <v>118166</v>
      </c>
      <c r="X44" s="9" t="s">
        <v>304</v>
      </c>
      <c r="Y44" s="3" t="s">
        <v>305</v>
      </c>
    </row>
    <row r="45" customFormat="false" ht="15" hidden="false" customHeight="false" outlineLevel="0" collapsed="false">
      <c r="A45" s="9" t="s">
        <v>308</v>
      </c>
      <c r="B45" s="9" t="s">
        <v>291</v>
      </c>
      <c r="C45" s="9" t="s">
        <v>221</v>
      </c>
      <c r="D45" s="33" t="n">
        <v>0</v>
      </c>
      <c r="E45" s="33" t="n">
        <v>0</v>
      </c>
      <c r="F45" s="33" t="n">
        <v>0</v>
      </c>
      <c r="G45" s="33" t="n">
        <v>0</v>
      </c>
      <c r="H45" s="33" t="n">
        <v>64859</v>
      </c>
      <c r="I45" s="33" t="n">
        <v>0</v>
      </c>
      <c r="J45" s="33" t="n">
        <v>0</v>
      </c>
      <c r="K45" s="33" t="n">
        <v>0</v>
      </c>
      <c r="L45" s="33" t="n">
        <v>0</v>
      </c>
      <c r="M45" s="12" t="n">
        <f aca="false">SUM(D45:L45)</f>
        <v>64859</v>
      </c>
      <c r="N45" s="37" t="n">
        <f aca="false">0</f>
        <v>0</v>
      </c>
      <c r="O45" s="37" t="n">
        <f aca="false">0</f>
        <v>0</v>
      </c>
      <c r="P45" s="37" t="n">
        <f aca="false">0</f>
        <v>0</v>
      </c>
      <c r="Q45" s="37" t="n">
        <f aca="false">SUM(N45:P45)</f>
        <v>0</v>
      </c>
      <c r="R45" s="21" t="n">
        <f aca="false">M45+Q45</f>
        <v>64859</v>
      </c>
      <c r="T45" s="12" t="str">
        <f aca="false">IF(S45="","",R45-S45)</f>
        <v/>
      </c>
      <c r="U45" s="13" t="str">
        <f aca="false">IF(S45="","",IF(S45=0,"",T45/S45))</f>
        <v/>
      </c>
      <c r="V45" s="33" t="n">
        <v>40339</v>
      </c>
      <c r="X45" s="9" t="s">
        <v>297</v>
      </c>
      <c r="Y45" s="3" t="s">
        <v>298</v>
      </c>
    </row>
    <row r="46" customFormat="false" ht="15" hidden="false" customHeight="false" outlineLevel="0" collapsed="false">
      <c r="A46" s="9" t="s">
        <v>309</v>
      </c>
      <c r="B46" s="9" t="s">
        <v>291</v>
      </c>
      <c r="C46" s="9" t="s">
        <v>221</v>
      </c>
      <c r="D46" s="33" t="n">
        <v>8942</v>
      </c>
      <c r="E46" s="33" t="n">
        <v>7077</v>
      </c>
      <c r="F46" s="33" t="n">
        <v>8116</v>
      </c>
      <c r="G46" s="33" t="n">
        <v>9068</v>
      </c>
      <c r="H46" s="33" t="n">
        <v>9126</v>
      </c>
      <c r="I46" s="33" t="n">
        <v>8664</v>
      </c>
      <c r="J46" s="33" t="n">
        <v>8762</v>
      </c>
      <c r="K46" s="33" t="n">
        <v>9605</v>
      </c>
      <c r="L46" s="33" t="n">
        <v>9772</v>
      </c>
      <c r="M46" s="12" t="n">
        <f aca="false">SUM(D46:L46)</f>
        <v>79132</v>
      </c>
      <c r="N46" s="37" t="n">
        <f aca="false">AVERAGE($J46:$L46)</f>
        <v>9379.66666666667</v>
      </c>
      <c r="O46" s="37" t="n">
        <f aca="false">AVERAGE($J46:$L46)</f>
        <v>9379.66666666667</v>
      </c>
      <c r="P46" s="37" t="n">
        <f aca="false">AVERAGE($J46:$L46)</f>
        <v>9379.66666666667</v>
      </c>
      <c r="Q46" s="37" t="n">
        <f aca="false">SUM(N46:P46)</f>
        <v>28139</v>
      </c>
      <c r="R46" s="21" t="n">
        <f aca="false">M46+Q46</f>
        <v>107271</v>
      </c>
      <c r="T46" s="12" t="str">
        <f aca="false">IF(S46="","",R46-S46)</f>
        <v/>
      </c>
      <c r="U46" s="13" t="str">
        <f aca="false">IF(S46="","",IF(S46=0,"",T46/S46))</f>
        <v/>
      </c>
      <c r="V46" s="33" t="n">
        <v>72661</v>
      </c>
      <c r="X46" s="9" t="s">
        <v>304</v>
      </c>
      <c r="Y46" s="3" t="s">
        <v>305</v>
      </c>
    </row>
    <row r="47" customFormat="false" ht="15" hidden="false" customHeight="false" outlineLevel="0" collapsed="false">
      <c r="A47" s="9" t="s">
        <v>310</v>
      </c>
      <c r="B47" s="9" t="s">
        <v>291</v>
      </c>
      <c r="C47" s="9" t="s">
        <v>221</v>
      </c>
      <c r="D47" s="33" t="n">
        <v>0</v>
      </c>
      <c r="E47" s="33" t="n">
        <v>15744</v>
      </c>
      <c r="F47" s="33" t="n">
        <v>0</v>
      </c>
      <c r="G47" s="33" t="n">
        <v>18968</v>
      </c>
      <c r="H47" s="33" t="n">
        <v>0</v>
      </c>
      <c r="I47" s="33" t="n">
        <v>18534</v>
      </c>
      <c r="J47" s="33" t="n">
        <v>0</v>
      </c>
      <c r="K47" s="33" t="n">
        <v>19800</v>
      </c>
      <c r="L47" s="33" t="n">
        <v>0</v>
      </c>
      <c r="M47" s="12" t="n">
        <f aca="false">SUM(D47:L47)</f>
        <v>73046</v>
      </c>
      <c r="N47" s="37" t="n">
        <f aca="false">$K47</f>
        <v>19800</v>
      </c>
      <c r="O47" s="37" t="n">
        <f aca="false">0</f>
        <v>0</v>
      </c>
      <c r="P47" s="37" t="n">
        <f aca="false">$K47</f>
        <v>19800</v>
      </c>
      <c r="Q47" s="37" t="n">
        <f aca="false">SUM(N47:P47)</f>
        <v>39600</v>
      </c>
      <c r="R47" s="21" t="n">
        <f aca="false">M47+Q47</f>
        <v>112646</v>
      </c>
      <c r="T47" s="12" t="str">
        <f aca="false">IF(S47="","",R47-S47)</f>
        <v/>
      </c>
      <c r="U47" s="13" t="str">
        <f aca="false">IF(S47="","",IF(S47=0,"",T47/S47))</f>
        <v/>
      </c>
      <c r="V47" s="33" t="n">
        <v>63890</v>
      </c>
      <c r="X47" s="9" t="s">
        <v>311</v>
      </c>
      <c r="Y47" s="3" t="s">
        <v>312</v>
      </c>
    </row>
    <row r="48" customFormat="false" ht="15" hidden="false" customHeight="false" outlineLevel="0" collapsed="false">
      <c r="A48" s="9" t="s">
        <v>313</v>
      </c>
      <c r="B48" s="9" t="s">
        <v>291</v>
      </c>
      <c r="C48" s="9" t="s">
        <v>221</v>
      </c>
      <c r="D48" s="33" t="n">
        <v>0</v>
      </c>
      <c r="E48" s="33" t="n">
        <v>3881</v>
      </c>
      <c r="F48" s="33" t="n">
        <v>0</v>
      </c>
      <c r="G48" s="33" t="n">
        <v>4719</v>
      </c>
      <c r="H48" s="33" t="n">
        <v>0</v>
      </c>
      <c r="I48" s="33" t="n">
        <v>4511</v>
      </c>
      <c r="J48" s="33" t="n">
        <v>0</v>
      </c>
      <c r="K48" s="33" t="n">
        <v>4782</v>
      </c>
      <c r="L48" s="33" t="n">
        <v>0</v>
      </c>
      <c r="M48" s="12" t="n">
        <f aca="false">SUM(D48:L48)</f>
        <v>17893</v>
      </c>
      <c r="N48" s="37" t="n">
        <f aca="false">$K48</f>
        <v>4782</v>
      </c>
      <c r="O48" s="37" t="n">
        <f aca="false">0</f>
        <v>0</v>
      </c>
      <c r="P48" s="37" t="n">
        <f aca="false">$K48</f>
        <v>4782</v>
      </c>
      <c r="Q48" s="37" t="n">
        <f aca="false">SUM(N48:P48)</f>
        <v>9564</v>
      </c>
      <c r="R48" s="21" t="n">
        <f aca="false">M48+Q48</f>
        <v>27457</v>
      </c>
      <c r="T48" s="12" t="str">
        <f aca="false">IF(S48="","",R48-S48)</f>
        <v/>
      </c>
      <c r="U48" s="13" t="str">
        <f aca="false">IF(S48="","",IF(S48=0,"",T48/S48))</f>
        <v/>
      </c>
      <c r="V48" s="33" t="n">
        <v>13529</v>
      </c>
      <c r="X48" s="9" t="s">
        <v>311</v>
      </c>
      <c r="Y48" s="3" t="s">
        <v>312</v>
      </c>
    </row>
    <row r="49" customFormat="false" ht="15" hidden="false" customHeight="false" outlineLevel="0" collapsed="false">
      <c r="A49" s="9" t="s">
        <v>314</v>
      </c>
      <c r="B49" s="9" t="s">
        <v>291</v>
      </c>
      <c r="C49" s="9" t="s">
        <v>221</v>
      </c>
      <c r="D49" s="33" t="n">
        <v>0</v>
      </c>
      <c r="E49" s="33" t="n">
        <v>9702</v>
      </c>
      <c r="F49" s="33" t="n">
        <v>0</v>
      </c>
      <c r="G49" s="33" t="n">
        <v>11796</v>
      </c>
      <c r="H49" s="33" t="n">
        <v>0</v>
      </c>
      <c r="I49" s="33" t="n">
        <v>11277</v>
      </c>
      <c r="J49" s="33" t="n">
        <v>0</v>
      </c>
      <c r="K49" s="33" t="n">
        <v>11954</v>
      </c>
      <c r="L49" s="33" t="n">
        <v>0</v>
      </c>
      <c r="M49" s="12" t="n">
        <f aca="false">SUM(D49:L49)</f>
        <v>44729</v>
      </c>
      <c r="N49" s="37" t="n">
        <f aca="false">$K49</f>
        <v>11954</v>
      </c>
      <c r="O49" s="37" t="n">
        <f aca="false">0</f>
        <v>0</v>
      </c>
      <c r="P49" s="37" t="n">
        <f aca="false">$K49</f>
        <v>11954</v>
      </c>
      <c r="Q49" s="37" t="n">
        <f aca="false">SUM(N49:P49)</f>
        <v>23908</v>
      </c>
      <c r="R49" s="21" t="n">
        <f aca="false">M49+Q49</f>
        <v>68637</v>
      </c>
      <c r="T49" s="12" t="str">
        <f aca="false">IF(S49="","",R49-S49)</f>
        <v/>
      </c>
      <c r="U49" s="13" t="str">
        <f aca="false">IF(S49="","",IF(S49=0,"",T49/S49))</f>
        <v/>
      </c>
      <c r="V49" s="33" t="n">
        <v>44267</v>
      </c>
      <c r="X49" s="9" t="s">
        <v>311</v>
      </c>
      <c r="Y49" s="3" t="s">
        <v>312</v>
      </c>
    </row>
    <row r="50" customFormat="false" ht="15" hidden="false" customHeight="false" outlineLevel="0" collapsed="false">
      <c r="A50" s="9" t="s">
        <v>315</v>
      </c>
      <c r="B50" s="9" t="s">
        <v>291</v>
      </c>
      <c r="C50" s="9" t="s">
        <v>221</v>
      </c>
      <c r="D50" s="33" t="n">
        <v>4529</v>
      </c>
      <c r="E50" s="33" t="n">
        <v>9035</v>
      </c>
      <c r="F50" s="33" t="n">
        <v>4293</v>
      </c>
      <c r="G50" s="33" t="n">
        <v>5385</v>
      </c>
      <c r="H50" s="33" t="n">
        <v>7064</v>
      </c>
      <c r="I50" s="33" t="n">
        <v>6092</v>
      </c>
      <c r="J50" s="33" t="n">
        <v>4306</v>
      </c>
      <c r="K50" s="33" t="n">
        <v>4610</v>
      </c>
      <c r="L50" s="33" t="n">
        <v>4823</v>
      </c>
      <c r="M50" s="12" t="n">
        <f aca="false">SUM(D50:L50)</f>
        <v>50137</v>
      </c>
      <c r="N50" s="11" t="n">
        <f aca="false">AVERAGE($J50:$L50)</f>
        <v>4579.66666666667</v>
      </c>
      <c r="O50" s="11" t="n">
        <f aca="false">AVERAGE($J50:$L50)</f>
        <v>4579.66666666667</v>
      </c>
      <c r="P50" s="11" t="n">
        <f aca="false">AVERAGE($J50:$L50)+Supuestos!$C$10*$P41</f>
        <v>6216.51502192983</v>
      </c>
      <c r="Q50" s="37" t="n">
        <f aca="false">SUM(N50:P50)</f>
        <v>15375.8483552632</v>
      </c>
      <c r="R50" s="21" t="n">
        <f aca="false">M50+Q50</f>
        <v>65512.8483552632</v>
      </c>
      <c r="T50" s="12" t="str">
        <f aca="false">IF(S50="","",R50-S50)</f>
        <v/>
      </c>
      <c r="U50" s="13" t="str">
        <f aca="false">IF(S50="","",IF(S50=0,"",T50/S50))</f>
        <v/>
      </c>
      <c r="V50" s="33" t="n">
        <v>41429</v>
      </c>
      <c r="X50" s="9" t="s">
        <v>316</v>
      </c>
      <c r="Y50" s="3" t="s">
        <v>317</v>
      </c>
    </row>
    <row r="51" customFormat="false" ht="15" hidden="false" customHeight="false" outlineLevel="0" collapsed="false">
      <c r="A51" s="3" t="s">
        <v>274</v>
      </c>
      <c r="V51" s="33" t="n">
        <v>2016</v>
      </c>
      <c r="X51" s="3" t="s">
        <v>275</v>
      </c>
      <c r="Y51" s="3" t="s">
        <v>276</v>
      </c>
    </row>
    <row r="52" customFormat="false" ht="15" hidden="false" customHeight="false" outlineLevel="0" collapsed="false">
      <c r="A52" s="40" t="s">
        <v>318</v>
      </c>
      <c r="B52" s="41"/>
      <c r="C52" s="41"/>
      <c r="D52" s="42" t="n">
        <f aca="false">SUM(D36:D51)</f>
        <v>136644</v>
      </c>
      <c r="E52" s="42" t="n">
        <f aca="false">SUM(E36:E51)</f>
        <v>170807</v>
      </c>
      <c r="F52" s="42" t="n">
        <f aca="false">SUM(F36:F51)</f>
        <v>115902</v>
      </c>
      <c r="G52" s="42" t="n">
        <f aca="false">SUM(G36:G51)</f>
        <v>199945</v>
      </c>
      <c r="H52" s="42" t="n">
        <f aca="false">SUM(H36:H51)</f>
        <v>209516</v>
      </c>
      <c r="I52" s="42" t="n">
        <f aca="false">SUM(I36:I51)</f>
        <v>178666</v>
      </c>
      <c r="J52" s="42" t="n">
        <f aca="false">SUM(J36:J51)</f>
        <v>144970</v>
      </c>
      <c r="K52" s="42" t="n">
        <f aca="false">SUM(K36:K51)</f>
        <v>181666</v>
      </c>
      <c r="L52" s="42" t="n">
        <f aca="false">SUM(L36:L51)</f>
        <v>154302</v>
      </c>
      <c r="M52" s="42" t="n">
        <f aca="false">SUM(M36:M51)</f>
        <v>1492418</v>
      </c>
      <c r="N52" s="42" t="n">
        <f aca="false">SUM(N36:N51)</f>
        <v>178551.666666667</v>
      </c>
      <c r="O52" s="42" t="n">
        <f aca="false">SUM(O36:O51)</f>
        <v>142015.666666667</v>
      </c>
      <c r="P52" s="42" t="n">
        <f aca="false">SUM(P36:P51)</f>
        <v>234750.126864035</v>
      </c>
      <c r="Q52" s="42" t="n">
        <f aca="false">SUM(Q36:Q51)</f>
        <v>555317.460197368</v>
      </c>
      <c r="R52" s="42" t="n">
        <f aca="false">SUM(R36:R51)</f>
        <v>2047735.46019737</v>
      </c>
      <c r="S52" s="42" t="n">
        <f aca="false">IF(COUNTIF('Presupuesto 2026'!$B:$B,$A52)=0,"",SUMIF('Presupuesto 2026'!$B:$B,$A52,'Presupuesto 2026'!$D:$D))</f>
        <v>2092370.53</v>
      </c>
      <c r="T52" s="42" t="n">
        <f aca="false">IF(S52="","",R52-S52)</f>
        <v>-44635.0698026316</v>
      </c>
      <c r="U52" s="43" t="n">
        <f aca="false">IF(S52="","",IF(S52=0,"",T52/S52))</f>
        <v>-0.0213322971063981</v>
      </c>
      <c r="V52" s="42" t="n">
        <f aca="false">SUM(V36:V51)</f>
        <v>1411617</v>
      </c>
      <c r="W52" s="41"/>
      <c r="X52" s="41"/>
      <c r="Y52" s="41"/>
    </row>
    <row r="54" customFormat="false" ht="15" hidden="false" customHeight="false" outlineLevel="0" collapsed="false">
      <c r="A54" s="6" t="s">
        <v>319</v>
      </c>
      <c r="B54" s="7" t="s">
        <v>320</v>
      </c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</row>
    <row r="55" customFormat="false" ht="15" hidden="false" customHeight="false" outlineLevel="0" collapsed="false">
      <c r="A55" s="9" t="s">
        <v>290</v>
      </c>
      <c r="B55" s="9" t="s">
        <v>291</v>
      </c>
      <c r="C55" s="9" t="s">
        <v>221</v>
      </c>
      <c r="D55" s="33" t="n">
        <v>60810</v>
      </c>
      <c r="E55" s="33" t="n">
        <v>61193</v>
      </c>
      <c r="F55" s="33" t="n">
        <v>60408</v>
      </c>
      <c r="G55" s="33" t="n">
        <v>77017</v>
      </c>
      <c r="H55" s="33" t="n">
        <v>59268</v>
      </c>
      <c r="I55" s="33" t="n">
        <v>64972</v>
      </c>
      <c r="J55" s="33" t="n">
        <v>57952</v>
      </c>
      <c r="K55" s="33" t="n">
        <v>60585</v>
      </c>
      <c r="L55" s="33" t="n">
        <v>60585</v>
      </c>
      <c r="M55" s="12" t="n">
        <f aca="false">SUM(D55:L55)</f>
        <v>562790</v>
      </c>
      <c r="N55" s="37" t="n">
        <f aca="false">AVERAGE($J55:$L55)</f>
        <v>59707.3333333333</v>
      </c>
      <c r="O55" s="37" t="n">
        <f aca="false">AVERAGE($J55:$L55)</f>
        <v>59707.3333333333</v>
      </c>
      <c r="P55" s="37" t="n">
        <f aca="false">AVERAGE($J55:$L55)</f>
        <v>59707.3333333333</v>
      </c>
      <c r="Q55" s="37" t="n">
        <f aca="false">SUM(N55:P55)</f>
        <v>179122</v>
      </c>
      <c r="R55" s="21" t="n">
        <f aca="false">M55+Q55</f>
        <v>741912</v>
      </c>
      <c r="T55" s="12" t="str">
        <f aca="false">IF(S55="","",R55-S55)</f>
        <v/>
      </c>
      <c r="U55" s="13" t="str">
        <f aca="false">IF(S55="","",IF(S55=0,"",T55/S55))</f>
        <v/>
      </c>
      <c r="V55" s="33" t="n">
        <v>644824</v>
      </c>
      <c r="X55" s="9" t="s">
        <v>292</v>
      </c>
      <c r="Y55" s="3" t="s">
        <v>293</v>
      </c>
    </row>
    <row r="56" customFormat="false" ht="15" hidden="false" customHeight="false" outlineLevel="0" collapsed="false">
      <c r="A56" s="9" t="s">
        <v>294</v>
      </c>
      <c r="B56" s="9" t="s">
        <v>291</v>
      </c>
      <c r="C56" s="9" t="s">
        <v>221</v>
      </c>
      <c r="D56" s="33" t="n">
        <v>0</v>
      </c>
      <c r="E56" s="33" t="n">
        <v>0</v>
      </c>
      <c r="F56" s="33" t="n">
        <v>0</v>
      </c>
      <c r="G56" s="33" t="n">
        <v>4826</v>
      </c>
      <c r="H56" s="33" t="n">
        <v>5703</v>
      </c>
      <c r="I56" s="33" t="n">
        <v>0</v>
      </c>
      <c r="J56" s="33" t="n">
        <v>4826</v>
      </c>
      <c r="K56" s="33" t="n">
        <v>5264</v>
      </c>
      <c r="L56" s="33" t="n">
        <v>5703</v>
      </c>
      <c r="M56" s="12" t="n">
        <f aca="false">SUM(D56:L56)</f>
        <v>26322</v>
      </c>
      <c r="N56" s="37" t="n">
        <f aca="false">AVERAGE($G56:$L56)</f>
        <v>4387</v>
      </c>
      <c r="O56" s="37" t="n">
        <f aca="false">AVERAGE($G56:$L56)</f>
        <v>4387</v>
      </c>
      <c r="P56" s="37" t="n">
        <f aca="false">AVERAGE($G56:$L56)</f>
        <v>4387</v>
      </c>
      <c r="Q56" s="37" t="n">
        <f aca="false">SUM(N56:P56)</f>
        <v>13161</v>
      </c>
      <c r="R56" s="21" t="n">
        <f aca="false">M56+Q56</f>
        <v>39483</v>
      </c>
      <c r="T56" s="12" t="str">
        <f aca="false">IF(S56="","",R56-S56)</f>
        <v/>
      </c>
      <c r="U56" s="13" t="str">
        <f aca="false">IF(S56="","",IF(S56=0,"",T56/S56))</f>
        <v/>
      </c>
      <c r="X56" s="9" t="s">
        <v>248</v>
      </c>
      <c r="Y56" s="3" t="s">
        <v>249</v>
      </c>
    </row>
    <row r="57" customFormat="false" ht="15" hidden="false" customHeight="false" outlineLevel="0" collapsed="false">
      <c r="A57" s="9" t="s">
        <v>295</v>
      </c>
      <c r="B57" s="9" t="s">
        <v>291</v>
      </c>
      <c r="C57" s="9" t="s">
        <v>221</v>
      </c>
      <c r="D57" s="33" t="n">
        <v>0</v>
      </c>
      <c r="E57" s="33" t="n">
        <v>0</v>
      </c>
      <c r="F57" s="33" t="n">
        <v>1207</v>
      </c>
      <c r="G57" s="33" t="n">
        <v>1206</v>
      </c>
      <c r="H57" s="33" t="n">
        <v>1426</v>
      </c>
      <c r="I57" s="33" t="n">
        <v>0</v>
      </c>
      <c r="J57" s="33" t="n">
        <v>1206</v>
      </c>
      <c r="K57" s="33" t="n">
        <v>1316</v>
      </c>
      <c r="L57" s="33" t="n">
        <v>1426</v>
      </c>
      <c r="M57" s="12" t="n">
        <f aca="false">SUM(D57:L57)</f>
        <v>7787</v>
      </c>
      <c r="N57" s="37" t="n">
        <f aca="false">AVERAGE($G57:$L57)</f>
        <v>1096.66666666667</v>
      </c>
      <c r="O57" s="37" t="n">
        <f aca="false">AVERAGE($G57:$L57)</f>
        <v>1096.66666666667</v>
      </c>
      <c r="P57" s="37" t="n">
        <f aca="false">AVERAGE($G57:$L57)</f>
        <v>1096.66666666667</v>
      </c>
      <c r="Q57" s="37" t="n">
        <f aca="false">SUM(N57:P57)</f>
        <v>3290</v>
      </c>
      <c r="R57" s="21" t="n">
        <f aca="false">M57+Q57</f>
        <v>11077</v>
      </c>
      <c r="T57" s="12" t="str">
        <f aca="false">IF(S57="","",R57-S57)</f>
        <v/>
      </c>
      <c r="U57" s="13" t="str">
        <f aca="false">IF(S57="","",IF(S57=0,"",T57/S57))</f>
        <v/>
      </c>
      <c r="V57" s="33" t="n">
        <v>8718</v>
      </c>
      <c r="X57" s="9" t="s">
        <v>248</v>
      </c>
      <c r="Y57" s="3" t="s">
        <v>249</v>
      </c>
    </row>
    <row r="58" customFormat="false" ht="15" hidden="false" customHeight="false" outlineLevel="0" collapsed="false">
      <c r="A58" s="9" t="s">
        <v>321</v>
      </c>
      <c r="B58" s="9" t="s">
        <v>291</v>
      </c>
      <c r="C58" s="9" t="s">
        <v>221</v>
      </c>
      <c r="D58" s="33" t="n">
        <v>2520</v>
      </c>
      <c r="E58" s="33" t="n">
        <v>2800</v>
      </c>
      <c r="F58" s="33" t="n">
        <v>2240</v>
      </c>
      <c r="G58" s="33" t="n">
        <v>1960</v>
      </c>
      <c r="H58" s="33" t="n">
        <v>1680</v>
      </c>
      <c r="I58" s="33" t="n">
        <v>1680</v>
      </c>
      <c r="J58" s="33" t="n">
        <v>1680</v>
      </c>
      <c r="K58" s="33" t="n">
        <v>2240</v>
      </c>
      <c r="L58" s="33" t="n">
        <v>2520</v>
      </c>
      <c r="M58" s="12" t="n">
        <f aca="false">SUM(D58:L58)</f>
        <v>19320</v>
      </c>
      <c r="N58" s="37" t="n">
        <f aca="false">AVERAGE($J58:$L58)</f>
        <v>2146.66666666667</v>
      </c>
      <c r="O58" s="37" t="n">
        <f aca="false">AVERAGE($J58:$L58)</f>
        <v>2146.66666666667</v>
      </c>
      <c r="P58" s="37" t="n">
        <f aca="false">AVERAGE($J58:$L58)</f>
        <v>2146.66666666667</v>
      </c>
      <c r="Q58" s="37" t="n">
        <f aca="false">SUM(N58:P58)</f>
        <v>6440</v>
      </c>
      <c r="R58" s="21" t="n">
        <f aca="false">M58+Q58</f>
        <v>25760</v>
      </c>
      <c r="T58" s="12" t="str">
        <f aca="false">IF(S58="","",R58-S58)</f>
        <v/>
      </c>
      <c r="U58" s="13" t="str">
        <f aca="false">IF(S58="","",IF(S58=0,"",T58/S58))</f>
        <v/>
      </c>
      <c r="V58" s="33" t="n">
        <v>28560</v>
      </c>
      <c r="X58" s="9" t="s">
        <v>304</v>
      </c>
      <c r="Y58" s="3" t="s">
        <v>305</v>
      </c>
    </row>
    <row r="59" customFormat="false" ht="15" hidden="false" customHeight="false" outlineLevel="0" collapsed="false">
      <c r="A59" s="9" t="s">
        <v>306</v>
      </c>
      <c r="B59" s="9" t="s">
        <v>291</v>
      </c>
      <c r="C59" s="9" t="s">
        <v>221</v>
      </c>
      <c r="D59" s="33" t="n">
        <v>7905</v>
      </c>
      <c r="E59" s="33" t="n">
        <v>7955</v>
      </c>
      <c r="F59" s="33" t="n">
        <v>7853</v>
      </c>
      <c r="G59" s="33" t="n">
        <v>8503</v>
      </c>
      <c r="H59" s="33" t="n">
        <v>8446</v>
      </c>
      <c r="I59" s="33" t="n">
        <v>8446</v>
      </c>
      <c r="J59" s="33" t="n">
        <v>8161</v>
      </c>
      <c r="K59" s="33" t="n">
        <v>8560</v>
      </c>
      <c r="L59" s="33" t="n">
        <v>8617</v>
      </c>
      <c r="M59" s="12" t="n">
        <f aca="false">SUM(D59:L59)</f>
        <v>74446</v>
      </c>
      <c r="N59" s="37" t="n">
        <f aca="false">AVERAGE($J59:$L59)</f>
        <v>8446</v>
      </c>
      <c r="O59" s="37" t="n">
        <f aca="false">AVERAGE($J59:$L59)</f>
        <v>8446</v>
      </c>
      <c r="P59" s="37" t="n">
        <f aca="false">AVERAGE($J59:$L59)</f>
        <v>8446</v>
      </c>
      <c r="Q59" s="37" t="n">
        <f aca="false">SUM(N59:P59)</f>
        <v>25338</v>
      </c>
      <c r="R59" s="21" t="n">
        <f aca="false">M59+Q59</f>
        <v>99784</v>
      </c>
      <c r="T59" s="12" t="str">
        <f aca="false">IF(S59="","",R59-S59)</f>
        <v/>
      </c>
      <c r="U59" s="13" t="str">
        <f aca="false">IF(S59="","",IF(S59=0,"",T59/S59))</f>
        <v/>
      </c>
      <c r="V59" s="33" t="n">
        <v>81333</v>
      </c>
      <c r="X59" s="9" t="s">
        <v>304</v>
      </c>
      <c r="Y59" s="3" t="s">
        <v>305</v>
      </c>
    </row>
    <row r="60" customFormat="false" ht="15" hidden="false" customHeight="false" outlineLevel="0" collapsed="false">
      <c r="A60" s="9" t="s">
        <v>307</v>
      </c>
      <c r="B60" s="9" t="s">
        <v>291</v>
      </c>
      <c r="C60" s="9" t="s">
        <v>221</v>
      </c>
      <c r="D60" s="33" t="n">
        <v>9120</v>
      </c>
      <c r="E60" s="33" t="n">
        <v>9180</v>
      </c>
      <c r="F60" s="33" t="n">
        <v>9560</v>
      </c>
      <c r="G60" s="33" t="n">
        <v>9812</v>
      </c>
      <c r="H60" s="33" t="n">
        <v>9746</v>
      </c>
      <c r="I60" s="33" t="n">
        <v>9746</v>
      </c>
      <c r="J60" s="33" t="n">
        <v>9417</v>
      </c>
      <c r="K60" s="33" t="n">
        <v>9878</v>
      </c>
      <c r="L60" s="33" t="n">
        <v>9944</v>
      </c>
      <c r="M60" s="12" t="n">
        <f aca="false">SUM(D60:L60)</f>
        <v>86403</v>
      </c>
      <c r="N60" s="37" t="n">
        <f aca="false">AVERAGE($J60:$L60)</f>
        <v>9746.33333333333</v>
      </c>
      <c r="O60" s="37" t="n">
        <f aca="false">AVERAGE($J60:$L60)</f>
        <v>9746.33333333333</v>
      </c>
      <c r="P60" s="37" t="n">
        <f aca="false">AVERAGE($J60:$L60)</f>
        <v>9746.33333333333</v>
      </c>
      <c r="Q60" s="37" t="n">
        <f aca="false">SUM(N60:P60)</f>
        <v>29239</v>
      </c>
      <c r="R60" s="21" t="n">
        <f aca="false">M60+Q60</f>
        <v>115642</v>
      </c>
      <c r="T60" s="12" t="str">
        <f aca="false">IF(S60="","",R60-S60)</f>
        <v/>
      </c>
      <c r="U60" s="13" t="str">
        <f aca="false">IF(S60="","",IF(S60=0,"",T60/S60))</f>
        <v/>
      </c>
      <c r="V60" s="33" t="n">
        <v>98717</v>
      </c>
      <c r="X60" s="9" t="s">
        <v>304</v>
      </c>
      <c r="Y60" s="3" t="s">
        <v>305</v>
      </c>
    </row>
    <row r="61" customFormat="false" ht="15" hidden="false" customHeight="false" outlineLevel="0" collapsed="false">
      <c r="A61" s="9" t="s">
        <v>308</v>
      </c>
      <c r="B61" s="9" t="s">
        <v>291</v>
      </c>
      <c r="C61" s="9" t="s">
        <v>221</v>
      </c>
      <c r="D61" s="33" t="n">
        <v>0</v>
      </c>
      <c r="E61" s="33" t="n">
        <v>0</v>
      </c>
      <c r="F61" s="33" t="n">
        <v>0</v>
      </c>
      <c r="G61" s="33" t="n">
        <v>0</v>
      </c>
      <c r="H61" s="33" t="n">
        <v>43870</v>
      </c>
      <c r="I61" s="33" t="n">
        <v>0</v>
      </c>
      <c r="J61" s="33" t="n">
        <v>0</v>
      </c>
      <c r="K61" s="33" t="n">
        <v>0</v>
      </c>
      <c r="L61" s="33" t="n">
        <v>0</v>
      </c>
      <c r="M61" s="12" t="n">
        <f aca="false">SUM(D61:L61)</f>
        <v>43870</v>
      </c>
      <c r="N61" s="37" t="n">
        <f aca="false">0</f>
        <v>0</v>
      </c>
      <c r="O61" s="37" t="n">
        <f aca="false">0</f>
        <v>0</v>
      </c>
      <c r="P61" s="37" t="n">
        <f aca="false">0</f>
        <v>0</v>
      </c>
      <c r="Q61" s="37" t="n">
        <f aca="false">SUM(N61:P61)</f>
        <v>0</v>
      </c>
      <c r="R61" s="21" t="n">
        <f aca="false">M61+Q61</f>
        <v>43870</v>
      </c>
      <c r="T61" s="12" t="str">
        <f aca="false">IF(S61="","",R61-S61)</f>
        <v/>
      </c>
      <c r="U61" s="13" t="str">
        <f aca="false">IF(S61="","",IF(S61=0,"",T61/S61))</f>
        <v/>
      </c>
      <c r="V61" s="33" t="n">
        <v>32196</v>
      </c>
      <c r="X61" s="9" t="s">
        <v>297</v>
      </c>
      <c r="Y61" s="3" t="s">
        <v>298</v>
      </c>
    </row>
    <row r="62" customFormat="false" ht="15" hidden="false" customHeight="false" outlineLevel="0" collapsed="false">
      <c r="A62" s="9" t="s">
        <v>309</v>
      </c>
      <c r="B62" s="9" t="s">
        <v>291</v>
      </c>
      <c r="C62" s="9" t="s">
        <v>221</v>
      </c>
      <c r="D62" s="33" t="n">
        <v>5630</v>
      </c>
      <c r="E62" s="33" t="n">
        <v>5129</v>
      </c>
      <c r="F62" s="33" t="n">
        <v>5210</v>
      </c>
      <c r="G62" s="33" t="n">
        <v>6272</v>
      </c>
      <c r="H62" s="33" t="n">
        <v>5544</v>
      </c>
      <c r="I62" s="33" t="n">
        <v>6181</v>
      </c>
      <c r="J62" s="33" t="n">
        <v>5964</v>
      </c>
      <c r="K62" s="33" t="n">
        <v>5827</v>
      </c>
      <c r="L62" s="33" t="n">
        <v>6136</v>
      </c>
      <c r="M62" s="12" t="n">
        <f aca="false">SUM(D62:L62)</f>
        <v>51893</v>
      </c>
      <c r="N62" s="37" t="n">
        <f aca="false">AVERAGE($J62:$L62)</f>
        <v>5975.66666666667</v>
      </c>
      <c r="O62" s="37" t="n">
        <f aca="false">AVERAGE($J62:$L62)</f>
        <v>5975.66666666667</v>
      </c>
      <c r="P62" s="37" t="n">
        <f aca="false">AVERAGE($J62:$L62)</f>
        <v>5975.66666666667</v>
      </c>
      <c r="Q62" s="37" t="n">
        <f aca="false">SUM(N62:P62)</f>
        <v>17927</v>
      </c>
      <c r="R62" s="21" t="n">
        <f aca="false">M62+Q62</f>
        <v>69820</v>
      </c>
      <c r="T62" s="12" t="str">
        <f aca="false">IF(S62="","",R62-S62)</f>
        <v/>
      </c>
      <c r="U62" s="13" t="str">
        <f aca="false">IF(S62="","",IF(S62=0,"",T62/S62))</f>
        <v/>
      </c>
      <c r="V62" s="33" t="n">
        <v>61978</v>
      </c>
      <c r="X62" s="9" t="s">
        <v>304</v>
      </c>
      <c r="Y62" s="3" t="s">
        <v>305</v>
      </c>
    </row>
    <row r="63" customFormat="false" ht="15" hidden="false" customHeight="false" outlineLevel="0" collapsed="false">
      <c r="A63" s="9" t="s">
        <v>310</v>
      </c>
      <c r="B63" s="9" t="s">
        <v>291</v>
      </c>
      <c r="C63" s="9" t="s">
        <v>221</v>
      </c>
      <c r="D63" s="33" t="n">
        <v>0</v>
      </c>
      <c r="E63" s="33" t="n">
        <v>11409</v>
      </c>
      <c r="F63" s="33" t="n">
        <v>0</v>
      </c>
      <c r="G63" s="33" t="n">
        <v>13119</v>
      </c>
      <c r="H63" s="33" t="n">
        <v>0</v>
      </c>
      <c r="I63" s="33" t="n">
        <v>13220</v>
      </c>
      <c r="J63" s="33" t="n">
        <v>0</v>
      </c>
      <c r="K63" s="33" t="n">
        <v>12012</v>
      </c>
      <c r="L63" s="33" t="n">
        <v>0</v>
      </c>
      <c r="M63" s="12" t="n">
        <f aca="false">SUM(D63:L63)</f>
        <v>49760</v>
      </c>
      <c r="N63" s="37" t="n">
        <f aca="false">$K63</f>
        <v>12012</v>
      </c>
      <c r="O63" s="37" t="n">
        <f aca="false">0</f>
        <v>0</v>
      </c>
      <c r="P63" s="37" t="n">
        <f aca="false">$K63</f>
        <v>12012</v>
      </c>
      <c r="Q63" s="37" t="n">
        <f aca="false">SUM(N63:P63)</f>
        <v>24024</v>
      </c>
      <c r="R63" s="21" t="n">
        <f aca="false">M63+Q63</f>
        <v>73784</v>
      </c>
      <c r="T63" s="12" t="str">
        <f aca="false">IF(S63="","",R63-S63)</f>
        <v/>
      </c>
      <c r="U63" s="13" t="str">
        <f aca="false">IF(S63="","",IF(S63=0,"",T63/S63))</f>
        <v/>
      </c>
      <c r="V63" s="33" t="n">
        <v>54223</v>
      </c>
      <c r="X63" s="9" t="s">
        <v>311</v>
      </c>
      <c r="Y63" s="3" t="s">
        <v>312</v>
      </c>
    </row>
    <row r="64" customFormat="false" ht="15" hidden="false" customHeight="false" outlineLevel="0" collapsed="false">
      <c r="A64" s="9" t="s">
        <v>313</v>
      </c>
      <c r="B64" s="9" t="s">
        <v>291</v>
      </c>
      <c r="C64" s="9" t="s">
        <v>221</v>
      </c>
      <c r="D64" s="33" t="n">
        <v>0</v>
      </c>
      <c r="E64" s="33" t="n">
        <v>2812</v>
      </c>
      <c r="F64" s="33" t="n">
        <v>0</v>
      </c>
      <c r="G64" s="33" t="n">
        <v>3264</v>
      </c>
      <c r="H64" s="33" t="n">
        <v>0</v>
      </c>
      <c r="I64" s="33" t="n">
        <v>3218</v>
      </c>
      <c r="J64" s="33" t="n">
        <v>0</v>
      </c>
      <c r="K64" s="33" t="n">
        <v>2901</v>
      </c>
      <c r="L64" s="33" t="n">
        <v>0</v>
      </c>
      <c r="M64" s="12" t="n">
        <f aca="false">SUM(D64:L64)</f>
        <v>12195</v>
      </c>
      <c r="N64" s="37" t="n">
        <f aca="false">$K64</f>
        <v>2901</v>
      </c>
      <c r="O64" s="37" t="n">
        <f aca="false">0</f>
        <v>0</v>
      </c>
      <c r="P64" s="37" t="n">
        <f aca="false">$K64</f>
        <v>2901</v>
      </c>
      <c r="Q64" s="37" t="n">
        <f aca="false">SUM(N64:P64)</f>
        <v>5802</v>
      </c>
      <c r="R64" s="21" t="n">
        <f aca="false">M64+Q64</f>
        <v>17997</v>
      </c>
      <c r="T64" s="12" t="str">
        <f aca="false">IF(S64="","",R64-S64)</f>
        <v/>
      </c>
      <c r="U64" s="13" t="str">
        <f aca="false">IF(S64="","",IF(S64=0,"",T64/S64))</f>
        <v/>
      </c>
      <c r="V64" s="33" t="n">
        <v>15025</v>
      </c>
      <c r="X64" s="9" t="s">
        <v>311</v>
      </c>
      <c r="Y64" s="3" t="s">
        <v>312</v>
      </c>
    </row>
    <row r="65" customFormat="false" ht="15" hidden="false" customHeight="false" outlineLevel="0" collapsed="false">
      <c r="A65" s="9" t="s">
        <v>314</v>
      </c>
      <c r="B65" s="9" t="s">
        <v>291</v>
      </c>
      <c r="C65" s="9" t="s">
        <v>221</v>
      </c>
      <c r="D65" s="33" t="n">
        <v>0</v>
      </c>
      <c r="E65" s="33" t="n">
        <v>7031</v>
      </c>
      <c r="F65" s="33" t="n">
        <v>0</v>
      </c>
      <c r="G65" s="33" t="n">
        <v>8159</v>
      </c>
      <c r="H65" s="33" t="n">
        <v>0</v>
      </c>
      <c r="I65" s="33" t="n">
        <v>8044</v>
      </c>
      <c r="J65" s="33" t="n">
        <v>0</v>
      </c>
      <c r="K65" s="33" t="n">
        <v>7252</v>
      </c>
      <c r="L65" s="33" t="n">
        <v>0</v>
      </c>
      <c r="M65" s="12" t="n">
        <f aca="false">SUM(D65:L65)</f>
        <v>30486</v>
      </c>
      <c r="N65" s="37" t="n">
        <f aca="false">$K65</f>
        <v>7252</v>
      </c>
      <c r="O65" s="37" t="n">
        <f aca="false">0</f>
        <v>0</v>
      </c>
      <c r="P65" s="37" t="n">
        <f aca="false">$K65</f>
        <v>7252</v>
      </c>
      <c r="Q65" s="37" t="n">
        <f aca="false">SUM(N65:P65)</f>
        <v>14504</v>
      </c>
      <c r="R65" s="21" t="n">
        <f aca="false">M65+Q65</f>
        <v>44990</v>
      </c>
      <c r="T65" s="12" t="str">
        <f aca="false">IF(S65="","",R65-S65)</f>
        <v/>
      </c>
      <c r="U65" s="13" t="str">
        <f aca="false">IF(S65="","",IF(S65=0,"",T65/S65))</f>
        <v/>
      </c>
      <c r="V65" s="33" t="n">
        <v>37558</v>
      </c>
      <c r="X65" s="9" t="s">
        <v>311</v>
      </c>
      <c r="Y65" s="3" t="s">
        <v>312</v>
      </c>
    </row>
    <row r="66" customFormat="false" ht="15" hidden="false" customHeight="false" outlineLevel="0" collapsed="false">
      <c r="A66" s="9" t="s">
        <v>300</v>
      </c>
      <c r="B66" s="9" t="s">
        <v>291</v>
      </c>
      <c r="C66" s="9" t="s">
        <v>221</v>
      </c>
      <c r="D66" s="33" t="n">
        <v>0</v>
      </c>
      <c r="E66" s="33" t="n">
        <v>0</v>
      </c>
      <c r="F66" s="33" t="n">
        <v>0</v>
      </c>
      <c r="G66" s="33" t="n">
        <v>0</v>
      </c>
      <c r="H66" s="33" t="n">
        <v>0</v>
      </c>
      <c r="I66" s="33" t="n">
        <v>0</v>
      </c>
      <c r="J66" s="33" t="n">
        <v>0</v>
      </c>
      <c r="K66" s="33" t="n">
        <v>0</v>
      </c>
      <c r="L66" s="33" t="n">
        <v>0</v>
      </c>
      <c r="M66" s="12" t="n">
        <f aca="false">SUM(D66:L66)</f>
        <v>0</v>
      </c>
      <c r="N66" s="11" t="n">
        <f aca="false">0</f>
        <v>0</v>
      </c>
      <c r="O66" s="11" t="n">
        <f aca="false">0</f>
        <v>0</v>
      </c>
      <c r="P66" s="11" t="n">
        <f aca="false">(AVERAGE($J55:$L55)+AVERAGE($J56:$L56))/Supuestos!$C$11*Supuestos!$C$12</f>
        <v>36332.8399122807</v>
      </c>
      <c r="Q66" s="37" t="n">
        <f aca="false">SUM(N66:P66)</f>
        <v>36332.8399122807</v>
      </c>
      <c r="R66" s="21" t="n">
        <f aca="false">M66+Q66</f>
        <v>36332.8399122807</v>
      </c>
      <c r="T66" s="12" t="str">
        <f aca="false">IF(S66="","",R66-S66)</f>
        <v/>
      </c>
      <c r="U66" s="13" t="str">
        <f aca="false">IF(S66="","",IF(S66=0,"",T66/S66))</f>
        <v/>
      </c>
      <c r="V66" s="33" t="n">
        <v>32949</v>
      </c>
      <c r="X66" s="9" t="s">
        <v>301</v>
      </c>
      <c r="Y66" s="3" t="s">
        <v>302</v>
      </c>
    </row>
    <row r="67" customFormat="false" ht="15" hidden="false" customHeight="false" outlineLevel="0" collapsed="false">
      <c r="A67" s="9" t="s">
        <v>315</v>
      </c>
      <c r="B67" s="9" t="s">
        <v>291</v>
      </c>
      <c r="C67" s="9" t="s">
        <v>221</v>
      </c>
      <c r="D67" s="33" t="n">
        <v>2852</v>
      </c>
      <c r="E67" s="33" t="n">
        <v>6352</v>
      </c>
      <c r="F67" s="33" t="n">
        <v>2756</v>
      </c>
      <c r="G67" s="33" t="n">
        <v>3724</v>
      </c>
      <c r="H67" s="33" t="n">
        <v>4291</v>
      </c>
      <c r="I67" s="33" t="n">
        <v>4345</v>
      </c>
      <c r="J67" s="33" t="n">
        <v>2931</v>
      </c>
      <c r="K67" s="33" t="n">
        <v>2797</v>
      </c>
      <c r="L67" s="33" t="n">
        <v>3029</v>
      </c>
      <c r="M67" s="12" t="n">
        <f aca="false">SUM(D67:L67)</f>
        <v>33077</v>
      </c>
      <c r="N67" s="11" t="n">
        <f aca="false">AVERAGE($J67:$L67)</f>
        <v>2919</v>
      </c>
      <c r="O67" s="11" t="n">
        <f aca="false">AVERAGE($J67:$L67)</f>
        <v>2919</v>
      </c>
      <c r="P67" s="11" t="n">
        <f aca="false">AVERAGE($J67:$L67)+Supuestos!$C$10*$P66</f>
        <v>4008.98519736842</v>
      </c>
      <c r="Q67" s="37" t="n">
        <f aca="false">SUM(N67:P67)</f>
        <v>9846.98519736842</v>
      </c>
      <c r="R67" s="21" t="n">
        <f aca="false">M67+Q67</f>
        <v>42923.9851973684</v>
      </c>
      <c r="T67" s="12" t="str">
        <f aca="false">IF(S67="","",R67-S67)</f>
        <v/>
      </c>
      <c r="U67" s="13" t="str">
        <f aca="false">IF(S67="","",IF(S67=0,"",T67/S67))</f>
        <v/>
      </c>
      <c r="V67" s="33" t="n">
        <v>34677</v>
      </c>
      <c r="X67" s="9" t="s">
        <v>316</v>
      </c>
      <c r="Y67" s="3" t="s">
        <v>317</v>
      </c>
    </row>
    <row r="68" customFormat="false" ht="15" hidden="false" customHeight="false" outlineLevel="0" collapsed="false">
      <c r="A68" s="3" t="s">
        <v>274</v>
      </c>
      <c r="V68" s="33" t="n">
        <v>8495</v>
      </c>
      <c r="X68" s="3" t="s">
        <v>275</v>
      </c>
      <c r="Y68" s="3" t="s">
        <v>276</v>
      </c>
    </row>
    <row r="69" customFormat="false" ht="15" hidden="false" customHeight="false" outlineLevel="0" collapsed="false">
      <c r="A69" s="40" t="s">
        <v>322</v>
      </c>
      <c r="B69" s="41"/>
      <c r="C69" s="41"/>
      <c r="D69" s="42" t="n">
        <f aca="false">SUM(D55:D68)</f>
        <v>88837</v>
      </c>
      <c r="E69" s="42" t="n">
        <f aca="false">SUM(E55:E68)</f>
        <v>113861</v>
      </c>
      <c r="F69" s="42" t="n">
        <f aca="false">SUM(F55:F68)</f>
        <v>89234</v>
      </c>
      <c r="G69" s="42" t="n">
        <f aca="false">SUM(G55:G68)</f>
        <v>137862</v>
      </c>
      <c r="H69" s="42" t="n">
        <f aca="false">SUM(H55:H68)</f>
        <v>139974</v>
      </c>
      <c r="I69" s="42" t="n">
        <f aca="false">SUM(I55:I68)</f>
        <v>119852</v>
      </c>
      <c r="J69" s="42" t="n">
        <f aca="false">SUM(J55:J68)</f>
        <v>92137</v>
      </c>
      <c r="K69" s="42" t="n">
        <f aca="false">SUM(K55:K68)</f>
        <v>118632</v>
      </c>
      <c r="L69" s="42" t="n">
        <f aca="false">SUM(L55:L68)</f>
        <v>97960</v>
      </c>
      <c r="M69" s="42" t="n">
        <f aca="false">SUM(M55:M68)</f>
        <v>998349</v>
      </c>
      <c r="N69" s="42" t="n">
        <f aca="false">SUM(N55:N68)</f>
        <v>116589.666666667</v>
      </c>
      <c r="O69" s="42" t="n">
        <f aca="false">SUM(O55:O68)</f>
        <v>94424.6666666667</v>
      </c>
      <c r="P69" s="42" t="n">
        <f aca="false">SUM(P55:P68)</f>
        <v>154012.491776316</v>
      </c>
      <c r="Q69" s="42" t="n">
        <f aca="false">SUM(Q55:Q68)</f>
        <v>365026.825109649</v>
      </c>
      <c r="R69" s="42" t="n">
        <f aca="false">SUM(R55:R68)</f>
        <v>1363375.82510965</v>
      </c>
      <c r="S69" s="42" t="n">
        <f aca="false">IF(COUNTIF('Presupuesto 2026'!$B:$B,$A69)=0,"",SUMIF('Presupuesto 2026'!$B:$B,$A69,'Presupuesto 2026'!$D:$D))</f>
        <v>1396680.68</v>
      </c>
      <c r="T69" s="42" t="n">
        <f aca="false">IF(S69="","",R69-S69)</f>
        <v>-33304.854890351</v>
      </c>
      <c r="U69" s="43" t="n">
        <f aca="false">IF(S69="","",IF(S69=0,"",T69/S69))</f>
        <v>-0.0238457189014392</v>
      </c>
      <c r="V69" s="42" t="n">
        <f aca="false">SUM(V55:V68)</f>
        <v>1139253</v>
      </c>
      <c r="W69" s="41"/>
      <c r="X69" s="41"/>
      <c r="Y69" s="41"/>
    </row>
    <row r="71" customFormat="false" ht="15" hidden="false" customHeight="false" outlineLevel="0" collapsed="false">
      <c r="A71" s="6" t="s">
        <v>323</v>
      </c>
      <c r="B71" s="7" t="s">
        <v>324</v>
      </c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</row>
    <row r="72" customFormat="false" ht="15" hidden="false" customHeight="false" outlineLevel="0" collapsed="false">
      <c r="A72" s="9" t="s">
        <v>290</v>
      </c>
      <c r="B72" s="9" t="s">
        <v>291</v>
      </c>
      <c r="C72" s="9" t="s">
        <v>221</v>
      </c>
      <c r="D72" s="33" t="n">
        <v>107769</v>
      </c>
      <c r="E72" s="33" t="n">
        <v>108454</v>
      </c>
      <c r="F72" s="33" t="n">
        <v>119647</v>
      </c>
      <c r="G72" s="33" t="n">
        <v>199124</v>
      </c>
      <c r="H72" s="33" t="n">
        <v>160412</v>
      </c>
      <c r="I72" s="33" t="n">
        <v>151304</v>
      </c>
      <c r="J72" s="33" t="n">
        <v>148286</v>
      </c>
      <c r="K72" s="33" t="n">
        <v>155687</v>
      </c>
      <c r="L72" s="33" t="n">
        <v>153695</v>
      </c>
      <c r="M72" s="12" t="n">
        <f aca="false">SUM(D72:L72)</f>
        <v>1304378</v>
      </c>
      <c r="N72" s="37" t="n">
        <f aca="false">AVERAGE($J72:$L72)</f>
        <v>152556</v>
      </c>
      <c r="O72" s="37" t="n">
        <f aca="false">AVERAGE($J72:$L72)</f>
        <v>152556</v>
      </c>
      <c r="P72" s="37" t="n">
        <f aca="false">AVERAGE($J72:$L72)</f>
        <v>152556</v>
      </c>
      <c r="Q72" s="37" t="n">
        <f aca="false">SUM(N72:P72)</f>
        <v>457668</v>
      </c>
      <c r="R72" s="21" t="n">
        <f aca="false">M72+Q72</f>
        <v>1762046</v>
      </c>
      <c r="T72" s="12" t="str">
        <f aca="false">IF(S72="","",R72-S72)</f>
        <v/>
      </c>
      <c r="U72" s="13" t="str">
        <f aca="false">IF(S72="","",IF(S72=0,"",T72/S72))</f>
        <v/>
      </c>
      <c r="V72" s="33" t="n">
        <v>1686555</v>
      </c>
      <c r="X72" s="9" t="s">
        <v>292</v>
      </c>
      <c r="Y72" s="3" t="s">
        <v>293</v>
      </c>
    </row>
    <row r="73" customFormat="false" ht="15" hidden="false" customHeight="false" outlineLevel="0" collapsed="false">
      <c r="A73" s="9" t="s">
        <v>294</v>
      </c>
      <c r="B73" s="9" t="s">
        <v>291</v>
      </c>
      <c r="C73" s="9" t="s">
        <v>221</v>
      </c>
      <c r="D73" s="33" t="n">
        <v>9055</v>
      </c>
      <c r="E73" s="33" t="n">
        <v>9779</v>
      </c>
      <c r="F73" s="33" t="n">
        <v>0</v>
      </c>
      <c r="G73" s="33" t="n">
        <v>4781</v>
      </c>
      <c r="H73" s="33" t="n">
        <v>6732</v>
      </c>
      <c r="I73" s="33" t="n">
        <v>10758</v>
      </c>
      <c r="J73" s="33" t="n">
        <v>12980</v>
      </c>
      <c r="K73" s="33" t="n">
        <v>9961</v>
      </c>
      <c r="L73" s="33" t="n">
        <v>9164</v>
      </c>
      <c r="M73" s="12" t="n">
        <f aca="false">SUM(D73:L73)</f>
        <v>73210</v>
      </c>
      <c r="N73" s="37" t="n">
        <f aca="false">AVERAGE($G73:$L73)</f>
        <v>9062.66666666667</v>
      </c>
      <c r="O73" s="37" t="n">
        <f aca="false">AVERAGE($G73:$L73)</f>
        <v>9062.66666666667</v>
      </c>
      <c r="P73" s="37" t="n">
        <f aca="false">AVERAGE($G73:$L73)</f>
        <v>9062.66666666667</v>
      </c>
      <c r="Q73" s="37" t="n">
        <f aca="false">SUM(N73:P73)</f>
        <v>27188</v>
      </c>
      <c r="R73" s="21" t="n">
        <f aca="false">M73+Q73</f>
        <v>100398</v>
      </c>
      <c r="T73" s="12" t="str">
        <f aca="false">IF(S73="","",R73-S73)</f>
        <v/>
      </c>
      <c r="U73" s="13" t="str">
        <f aca="false">IF(S73="","",IF(S73=0,"",T73/S73))</f>
        <v/>
      </c>
      <c r="X73" s="9" t="s">
        <v>248</v>
      </c>
      <c r="Y73" s="3" t="s">
        <v>249</v>
      </c>
    </row>
    <row r="74" customFormat="false" ht="15" hidden="false" customHeight="false" outlineLevel="0" collapsed="false">
      <c r="A74" s="9" t="s">
        <v>295</v>
      </c>
      <c r="B74" s="9" t="s">
        <v>291</v>
      </c>
      <c r="C74" s="9" t="s">
        <v>221</v>
      </c>
      <c r="D74" s="33" t="n">
        <v>2264</v>
      </c>
      <c r="E74" s="33" t="n">
        <v>2445</v>
      </c>
      <c r="F74" s="33" t="n">
        <v>0</v>
      </c>
      <c r="G74" s="33" t="n">
        <v>1195</v>
      </c>
      <c r="H74" s="33" t="n">
        <v>1968</v>
      </c>
      <c r="I74" s="33" t="n">
        <v>2690</v>
      </c>
      <c r="J74" s="33" t="n">
        <v>3245</v>
      </c>
      <c r="K74" s="33" t="n">
        <v>2490</v>
      </c>
      <c r="L74" s="33" t="n">
        <v>3627</v>
      </c>
      <c r="M74" s="12" t="n">
        <f aca="false">SUM(D74:L74)</f>
        <v>19924</v>
      </c>
      <c r="N74" s="37" t="n">
        <f aca="false">AVERAGE($G74:$L74)</f>
        <v>2535.83333333333</v>
      </c>
      <c r="O74" s="37" t="n">
        <f aca="false">AVERAGE($G74:$L74)</f>
        <v>2535.83333333333</v>
      </c>
      <c r="P74" s="37" t="n">
        <f aca="false">AVERAGE($G74:$L74)</f>
        <v>2535.83333333333</v>
      </c>
      <c r="Q74" s="37" t="n">
        <f aca="false">SUM(N74:P74)</f>
        <v>7607.5</v>
      </c>
      <c r="R74" s="21" t="n">
        <f aca="false">M74+Q74</f>
        <v>27531.5</v>
      </c>
      <c r="T74" s="12" t="str">
        <f aca="false">IF(S74="","",R74-S74)</f>
        <v/>
      </c>
      <c r="U74" s="13" t="str">
        <f aca="false">IF(S74="","",IF(S74=0,"",T74/S74))</f>
        <v/>
      </c>
      <c r="V74" s="33" t="n">
        <v>28792</v>
      </c>
      <c r="X74" s="9" t="s">
        <v>248</v>
      </c>
      <c r="Y74" s="3" t="s">
        <v>249</v>
      </c>
    </row>
    <row r="75" customFormat="false" ht="15" hidden="false" customHeight="false" outlineLevel="0" collapsed="false">
      <c r="A75" s="9" t="s">
        <v>325</v>
      </c>
      <c r="B75" s="9" t="s">
        <v>291</v>
      </c>
      <c r="C75" s="9" t="s">
        <v>221</v>
      </c>
      <c r="D75" s="33" t="n">
        <v>0</v>
      </c>
      <c r="E75" s="33" t="n">
        <v>0</v>
      </c>
      <c r="F75" s="33" t="n">
        <v>0</v>
      </c>
      <c r="G75" s="33" t="n">
        <v>1594</v>
      </c>
      <c r="H75" s="33" t="n">
        <v>0</v>
      </c>
      <c r="I75" s="33" t="n">
        <v>0</v>
      </c>
      <c r="J75" s="33" t="n">
        <v>0</v>
      </c>
      <c r="K75" s="33" t="n">
        <v>0</v>
      </c>
      <c r="L75" s="33" t="n">
        <v>-1336</v>
      </c>
      <c r="M75" s="12" t="n">
        <f aca="false">SUM(D75:L75)</f>
        <v>258</v>
      </c>
      <c r="N75" s="37" t="n">
        <f aca="false">0</f>
        <v>0</v>
      </c>
      <c r="O75" s="37" t="n">
        <f aca="false">0</f>
        <v>0</v>
      </c>
      <c r="P75" s="37" t="n">
        <f aca="false">0</f>
        <v>0</v>
      </c>
      <c r="Q75" s="37" t="n">
        <f aca="false">SUM(N75:P75)</f>
        <v>0</v>
      </c>
      <c r="R75" s="21" t="n">
        <f aca="false">M75+Q75</f>
        <v>258</v>
      </c>
      <c r="T75" s="12" t="str">
        <f aca="false">IF(S75="","",R75-S75)</f>
        <v/>
      </c>
      <c r="U75" s="13" t="str">
        <f aca="false">IF(S75="","",IF(S75=0,"",T75/S75))</f>
        <v/>
      </c>
      <c r="X75" s="9" t="s">
        <v>297</v>
      </c>
      <c r="Y75" s="3" t="s">
        <v>298</v>
      </c>
    </row>
    <row r="76" customFormat="false" ht="15" hidden="false" customHeight="false" outlineLevel="0" collapsed="false">
      <c r="A76" s="9" t="s">
        <v>299</v>
      </c>
      <c r="B76" s="9" t="s">
        <v>291</v>
      </c>
      <c r="C76" s="9" t="s">
        <v>221</v>
      </c>
      <c r="D76" s="33" t="n">
        <v>8647</v>
      </c>
      <c r="E76" s="33" t="n">
        <v>4069</v>
      </c>
      <c r="F76" s="33" t="n">
        <v>0</v>
      </c>
      <c r="G76" s="33" t="n">
        <v>0</v>
      </c>
      <c r="H76" s="33" t="n">
        <v>3958</v>
      </c>
      <c r="I76" s="33" t="n">
        <v>0</v>
      </c>
      <c r="J76" s="33" t="n">
        <v>0</v>
      </c>
      <c r="K76" s="33" t="n">
        <v>0</v>
      </c>
      <c r="L76" s="33" t="n">
        <v>-13963</v>
      </c>
      <c r="M76" s="12" t="n">
        <f aca="false">SUM(D76:L76)</f>
        <v>2711</v>
      </c>
      <c r="N76" s="37" t="n">
        <f aca="false">0</f>
        <v>0</v>
      </c>
      <c r="O76" s="37" t="n">
        <f aca="false">0</f>
        <v>0</v>
      </c>
      <c r="P76" s="37" t="n">
        <f aca="false">0</f>
        <v>0</v>
      </c>
      <c r="Q76" s="37" t="n">
        <f aca="false">SUM(N76:P76)</f>
        <v>0</v>
      </c>
      <c r="R76" s="21" t="n">
        <f aca="false">M76+Q76</f>
        <v>2711</v>
      </c>
      <c r="T76" s="12" t="str">
        <f aca="false">IF(S76="","",R76-S76)</f>
        <v/>
      </c>
      <c r="U76" s="13" t="str">
        <f aca="false">IF(S76="","",IF(S76=0,"",T76/S76))</f>
        <v/>
      </c>
      <c r="V76" s="33" t="n">
        <v>5912</v>
      </c>
      <c r="X76" s="9" t="s">
        <v>297</v>
      </c>
      <c r="Y76" s="3" t="s">
        <v>298</v>
      </c>
    </row>
    <row r="77" customFormat="false" ht="15" hidden="false" customHeight="false" outlineLevel="0" collapsed="false">
      <c r="A77" s="9" t="s">
        <v>321</v>
      </c>
      <c r="B77" s="9" t="s">
        <v>291</v>
      </c>
      <c r="C77" s="9" t="s">
        <v>221</v>
      </c>
      <c r="D77" s="33" t="n">
        <v>3640</v>
      </c>
      <c r="E77" s="33" t="n">
        <v>4200</v>
      </c>
      <c r="F77" s="33" t="n">
        <v>3920</v>
      </c>
      <c r="G77" s="33" t="n">
        <v>5040</v>
      </c>
      <c r="H77" s="33" t="n">
        <v>5320</v>
      </c>
      <c r="I77" s="33" t="n">
        <v>5040</v>
      </c>
      <c r="J77" s="33" t="n">
        <v>3920</v>
      </c>
      <c r="K77" s="33" t="n">
        <v>5600</v>
      </c>
      <c r="L77" s="33" t="n">
        <v>4480</v>
      </c>
      <c r="M77" s="12" t="n">
        <f aca="false">SUM(D77:L77)</f>
        <v>41160</v>
      </c>
      <c r="N77" s="37" t="n">
        <f aca="false">AVERAGE($J77:$L77)</f>
        <v>4666.66666666667</v>
      </c>
      <c r="O77" s="37" t="n">
        <f aca="false">AVERAGE($J77:$L77)</f>
        <v>4666.66666666667</v>
      </c>
      <c r="P77" s="37" t="n">
        <f aca="false">AVERAGE($J77:$L77)</f>
        <v>4666.66666666667</v>
      </c>
      <c r="Q77" s="37" t="n">
        <f aca="false">SUM(N77:P77)</f>
        <v>14000</v>
      </c>
      <c r="R77" s="21" t="n">
        <f aca="false">M77+Q77</f>
        <v>55160</v>
      </c>
      <c r="T77" s="12" t="str">
        <f aca="false">IF(S77="","",R77-S77)</f>
        <v/>
      </c>
      <c r="U77" s="13" t="str">
        <f aca="false">IF(S77="","",IF(S77=0,"",T77/S77))</f>
        <v/>
      </c>
      <c r="V77" s="33" t="n">
        <v>68320</v>
      </c>
      <c r="X77" s="9" t="s">
        <v>304</v>
      </c>
      <c r="Y77" s="3" t="s">
        <v>305</v>
      </c>
    </row>
    <row r="78" customFormat="false" ht="15" hidden="false" customHeight="false" outlineLevel="0" collapsed="false">
      <c r="A78" s="9" t="s">
        <v>326</v>
      </c>
      <c r="B78" s="9" t="s">
        <v>291</v>
      </c>
      <c r="C78" s="9" t="s">
        <v>221</v>
      </c>
      <c r="D78" s="33" t="n">
        <v>15187</v>
      </c>
      <c r="E78" s="33" t="n">
        <v>15370</v>
      </c>
      <c r="F78" s="33" t="n">
        <v>15267</v>
      </c>
      <c r="G78" s="33" t="n">
        <v>21327</v>
      </c>
      <c r="H78" s="33" t="n">
        <v>21976</v>
      </c>
      <c r="I78" s="33" t="n">
        <v>21068</v>
      </c>
      <c r="J78" s="33" t="n">
        <v>20965</v>
      </c>
      <c r="K78" s="33" t="n">
        <v>21534</v>
      </c>
      <c r="L78" s="33" t="n">
        <v>21172</v>
      </c>
      <c r="M78" s="12" t="n">
        <f aca="false">SUM(D78:L78)</f>
        <v>173866</v>
      </c>
      <c r="N78" s="37" t="n">
        <f aca="false">AVERAGE($J78:$L78)</f>
        <v>21223.6666666667</v>
      </c>
      <c r="O78" s="37" t="n">
        <f aca="false">AVERAGE($J78:$L78)</f>
        <v>21223.6666666667</v>
      </c>
      <c r="P78" s="37" t="n">
        <f aca="false">AVERAGE($J78:$L78)</f>
        <v>21223.6666666667</v>
      </c>
      <c r="Q78" s="37" t="n">
        <f aca="false">SUM(N78:P78)</f>
        <v>63671</v>
      </c>
      <c r="R78" s="21" t="n">
        <f aca="false">M78+Q78</f>
        <v>237537</v>
      </c>
      <c r="T78" s="12" t="str">
        <f aca="false">IF(S78="","",R78-S78)</f>
        <v/>
      </c>
      <c r="U78" s="13" t="str">
        <f aca="false">IF(S78="","",IF(S78=0,"",T78/S78))</f>
        <v/>
      </c>
      <c r="V78" s="33" t="n">
        <v>221764</v>
      </c>
      <c r="X78" s="9" t="s">
        <v>304</v>
      </c>
      <c r="Y78" s="3" t="s">
        <v>305</v>
      </c>
    </row>
    <row r="79" customFormat="false" ht="15" hidden="false" customHeight="false" outlineLevel="0" collapsed="false">
      <c r="A79" s="9" t="s">
        <v>327</v>
      </c>
      <c r="B79" s="9" t="s">
        <v>291</v>
      </c>
      <c r="C79" s="9" t="s">
        <v>221</v>
      </c>
      <c r="D79" s="33" t="n">
        <v>17519</v>
      </c>
      <c r="E79" s="33" t="n">
        <v>17734</v>
      </c>
      <c r="F79" s="33" t="n">
        <v>18111</v>
      </c>
      <c r="G79" s="33" t="n">
        <v>24605</v>
      </c>
      <c r="H79" s="33" t="n">
        <v>24606</v>
      </c>
      <c r="I79" s="33" t="n">
        <v>24808</v>
      </c>
      <c r="J79" s="33" t="n">
        <v>24687</v>
      </c>
      <c r="K79" s="33" t="n">
        <v>24844</v>
      </c>
      <c r="L79" s="33" t="n">
        <v>24426</v>
      </c>
      <c r="M79" s="12" t="n">
        <f aca="false">SUM(D79:L79)</f>
        <v>201340</v>
      </c>
      <c r="N79" s="37" t="n">
        <f aca="false">AVERAGE($J79:$L79)</f>
        <v>24652.3333333333</v>
      </c>
      <c r="O79" s="37" t="n">
        <f aca="false">AVERAGE($J79:$L79)</f>
        <v>24652.3333333333</v>
      </c>
      <c r="P79" s="37" t="n">
        <f aca="false">AVERAGE($J79:$L79)</f>
        <v>24652.3333333333</v>
      </c>
      <c r="Q79" s="37" t="n">
        <f aca="false">SUM(N79:P79)</f>
        <v>73957</v>
      </c>
      <c r="R79" s="21" t="n">
        <f aca="false">M79+Q79</f>
        <v>275297</v>
      </c>
      <c r="T79" s="12" t="str">
        <f aca="false">IF(S79="","",R79-S79)</f>
        <v/>
      </c>
      <c r="U79" s="13" t="str">
        <f aca="false">IF(S79="","",IF(S79=0,"",T79/S79))</f>
        <v/>
      </c>
      <c r="V79" s="33" t="n">
        <v>263927</v>
      </c>
      <c r="X79" s="9" t="s">
        <v>304</v>
      </c>
      <c r="Y79" s="3" t="s">
        <v>305</v>
      </c>
    </row>
    <row r="80" customFormat="false" ht="15" hidden="false" customHeight="false" outlineLevel="0" collapsed="false">
      <c r="A80" s="9" t="s">
        <v>308</v>
      </c>
      <c r="B80" s="9" t="s">
        <v>291</v>
      </c>
      <c r="C80" s="9" t="s">
        <v>221</v>
      </c>
      <c r="D80" s="33" t="n">
        <v>0</v>
      </c>
      <c r="E80" s="33" t="n">
        <v>0</v>
      </c>
      <c r="F80" s="33" t="n">
        <v>0</v>
      </c>
      <c r="G80" s="33" t="n">
        <v>0</v>
      </c>
      <c r="H80" s="33" t="n">
        <v>109956</v>
      </c>
      <c r="I80" s="33" t="n">
        <v>0</v>
      </c>
      <c r="J80" s="33" t="n">
        <v>0</v>
      </c>
      <c r="K80" s="33" t="n">
        <v>0</v>
      </c>
      <c r="L80" s="33" t="n">
        <v>0</v>
      </c>
      <c r="M80" s="12" t="n">
        <f aca="false">SUM(D80:L80)</f>
        <v>109956</v>
      </c>
      <c r="N80" s="37" t="n">
        <f aca="false">0</f>
        <v>0</v>
      </c>
      <c r="O80" s="37" t="n">
        <f aca="false">0</f>
        <v>0</v>
      </c>
      <c r="P80" s="37" t="n">
        <f aca="false">0</f>
        <v>0</v>
      </c>
      <c r="Q80" s="37" t="n">
        <f aca="false">SUM(N80:P80)</f>
        <v>0</v>
      </c>
      <c r="R80" s="21" t="n">
        <f aca="false">M80+Q80</f>
        <v>109956</v>
      </c>
      <c r="T80" s="12" t="str">
        <f aca="false">IF(S80="","",R80-S80)</f>
        <v/>
      </c>
      <c r="U80" s="13" t="str">
        <f aca="false">IF(S80="","",IF(S80=0,"",T80/S80))</f>
        <v/>
      </c>
      <c r="V80" s="33" t="n">
        <v>97222</v>
      </c>
      <c r="X80" s="9" t="s">
        <v>297</v>
      </c>
      <c r="Y80" s="3" t="s">
        <v>298</v>
      </c>
    </row>
    <row r="81" customFormat="false" ht="15" hidden="false" customHeight="false" outlineLevel="0" collapsed="false">
      <c r="A81" s="9" t="s">
        <v>328</v>
      </c>
      <c r="B81" s="9" t="s">
        <v>291</v>
      </c>
      <c r="C81" s="9" t="s">
        <v>221</v>
      </c>
      <c r="D81" s="33" t="n">
        <v>0</v>
      </c>
      <c r="E81" s="33" t="n">
        <v>0</v>
      </c>
      <c r="F81" s="33" t="n">
        <v>0</v>
      </c>
      <c r="G81" s="33" t="n">
        <v>0</v>
      </c>
      <c r="H81" s="33" t="n">
        <v>0</v>
      </c>
      <c r="I81" s="33" t="n">
        <v>0</v>
      </c>
      <c r="J81" s="33" t="n">
        <v>0</v>
      </c>
      <c r="K81" s="33" t="n">
        <v>1500</v>
      </c>
      <c r="L81" s="33" t="n">
        <v>0</v>
      </c>
      <c r="M81" s="12" t="n">
        <f aca="false">SUM(D81:L81)</f>
        <v>1500</v>
      </c>
      <c r="N81" s="37" t="n">
        <f aca="false">0</f>
        <v>0</v>
      </c>
      <c r="O81" s="37" t="n">
        <f aca="false">0</f>
        <v>0</v>
      </c>
      <c r="P81" s="37" t="n">
        <f aca="false">0</f>
        <v>0</v>
      </c>
      <c r="Q81" s="37" t="n">
        <f aca="false">SUM(N81:P81)</f>
        <v>0</v>
      </c>
      <c r="R81" s="21" t="n">
        <f aca="false">M81+Q81</f>
        <v>1500</v>
      </c>
      <c r="T81" s="12" t="str">
        <f aca="false">IF(S81="","",R81-S81)</f>
        <v/>
      </c>
      <c r="U81" s="13" t="str">
        <f aca="false">IF(S81="","",IF(S81=0,"",T81/S81))</f>
        <v/>
      </c>
      <c r="V81" s="33" t="n">
        <v>11000</v>
      </c>
      <c r="X81" s="9" t="s">
        <v>297</v>
      </c>
      <c r="Y81" s="3" t="s">
        <v>298</v>
      </c>
    </row>
    <row r="82" customFormat="false" ht="15" hidden="false" customHeight="false" outlineLevel="0" collapsed="false">
      <c r="A82" s="9" t="s">
        <v>309</v>
      </c>
      <c r="B82" s="9" t="s">
        <v>291</v>
      </c>
      <c r="C82" s="9" t="s">
        <v>221</v>
      </c>
      <c r="D82" s="33" t="n">
        <v>9978</v>
      </c>
      <c r="E82" s="33" t="n">
        <v>9090</v>
      </c>
      <c r="F82" s="33" t="n">
        <v>14138</v>
      </c>
      <c r="G82" s="33" t="n">
        <v>16216</v>
      </c>
      <c r="H82" s="33" t="n">
        <v>15004</v>
      </c>
      <c r="I82" s="33" t="n">
        <v>14393</v>
      </c>
      <c r="J82" s="33" t="n">
        <v>15261</v>
      </c>
      <c r="K82" s="33" t="n">
        <v>14974</v>
      </c>
      <c r="L82" s="33" t="n">
        <v>15566</v>
      </c>
      <c r="M82" s="12" t="n">
        <f aca="false">SUM(D82:L82)</f>
        <v>124620</v>
      </c>
      <c r="N82" s="37" t="n">
        <f aca="false">AVERAGE($J82:$L82)</f>
        <v>15267</v>
      </c>
      <c r="O82" s="37" t="n">
        <f aca="false">AVERAGE($J82:$L82)</f>
        <v>15267</v>
      </c>
      <c r="P82" s="37" t="n">
        <f aca="false">AVERAGE($J82:$L82)</f>
        <v>15267</v>
      </c>
      <c r="Q82" s="37" t="n">
        <f aca="false">SUM(N82:P82)</f>
        <v>45801</v>
      </c>
      <c r="R82" s="21" t="n">
        <f aca="false">M82+Q82</f>
        <v>170421</v>
      </c>
      <c r="T82" s="12" t="str">
        <f aca="false">IF(S82="","",R82-S82)</f>
        <v/>
      </c>
      <c r="U82" s="13" t="str">
        <f aca="false">IF(S82="","",IF(S82=0,"",T82/S82))</f>
        <v/>
      </c>
      <c r="V82" s="33" t="n">
        <v>168481</v>
      </c>
      <c r="X82" s="9" t="s">
        <v>304</v>
      </c>
      <c r="Y82" s="3" t="s">
        <v>305</v>
      </c>
    </row>
    <row r="83" customFormat="false" ht="15" hidden="false" customHeight="false" outlineLevel="0" collapsed="false">
      <c r="A83" s="9" t="s">
        <v>310</v>
      </c>
      <c r="B83" s="9" t="s">
        <v>291</v>
      </c>
      <c r="C83" s="9" t="s">
        <v>221</v>
      </c>
      <c r="D83" s="33" t="n">
        <v>0</v>
      </c>
      <c r="E83" s="33" t="n">
        <v>20221</v>
      </c>
      <c r="F83" s="33" t="n">
        <v>0</v>
      </c>
      <c r="G83" s="33" t="n">
        <v>33918</v>
      </c>
      <c r="H83" s="33" t="n">
        <v>0</v>
      </c>
      <c r="I83" s="33" t="n">
        <v>30787</v>
      </c>
      <c r="J83" s="33" t="n">
        <v>0</v>
      </c>
      <c r="K83" s="33" t="n">
        <v>30867</v>
      </c>
      <c r="L83" s="33" t="n">
        <v>0</v>
      </c>
      <c r="M83" s="12" t="n">
        <f aca="false">SUM(D83:L83)</f>
        <v>115793</v>
      </c>
      <c r="N83" s="37" t="n">
        <f aca="false">$K83</f>
        <v>30867</v>
      </c>
      <c r="O83" s="37" t="n">
        <f aca="false">0</f>
        <v>0</v>
      </c>
      <c r="P83" s="37" t="n">
        <f aca="false">$K83</f>
        <v>30867</v>
      </c>
      <c r="Q83" s="37" t="n">
        <f aca="false">SUM(N83:P83)</f>
        <v>61734</v>
      </c>
      <c r="R83" s="21" t="n">
        <f aca="false">M83+Q83</f>
        <v>177527</v>
      </c>
      <c r="T83" s="12" t="str">
        <f aca="false">IF(S83="","",R83-S83)</f>
        <v/>
      </c>
      <c r="U83" s="13" t="str">
        <f aca="false">IF(S83="","",IF(S83=0,"",T83/S83))</f>
        <v/>
      </c>
      <c r="V83" s="33" t="n">
        <v>142480</v>
      </c>
      <c r="X83" s="9" t="s">
        <v>311</v>
      </c>
      <c r="Y83" s="3" t="s">
        <v>312</v>
      </c>
    </row>
    <row r="84" customFormat="false" ht="15" hidden="false" customHeight="false" outlineLevel="0" collapsed="false">
      <c r="A84" s="9" t="s">
        <v>313</v>
      </c>
      <c r="B84" s="9" t="s">
        <v>291</v>
      </c>
      <c r="C84" s="9" t="s">
        <v>221</v>
      </c>
      <c r="D84" s="33" t="n">
        <v>0</v>
      </c>
      <c r="E84" s="33" t="n">
        <v>4985</v>
      </c>
      <c r="F84" s="33" t="n">
        <v>0</v>
      </c>
      <c r="G84" s="33" t="n">
        <v>8438</v>
      </c>
      <c r="H84" s="33" t="n">
        <v>0</v>
      </c>
      <c r="I84" s="33" t="n">
        <v>7493</v>
      </c>
      <c r="J84" s="33" t="n">
        <v>0</v>
      </c>
      <c r="K84" s="33" t="n">
        <v>7454</v>
      </c>
      <c r="L84" s="33" t="n">
        <v>0</v>
      </c>
      <c r="M84" s="12" t="n">
        <f aca="false">SUM(D84:L84)</f>
        <v>28370</v>
      </c>
      <c r="N84" s="37" t="n">
        <f aca="false">$K84</f>
        <v>7454</v>
      </c>
      <c r="O84" s="37" t="n">
        <f aca="false">0</f>
        <v>0</v>
      </c>
      <c r="P84" s="37" t="n">
        <f aca="false">$K84</f>
        <v>7454</v>
      </c>
      <c r="Q84" s="37" t="n">
        <f aca="false">SUM(N84:P84)</f>
        <v>14908</v>
      </c>
      <c r="R84" s="21" t="n">
        <f aca="false">M84+Q84</f>
        <v>43278</v>
      </c>
      <c r="T84" s="12" t="str">
        <f aca="false">IF(S84="","",R84-S84)</f>
        <v/>
      </c>
      <c r="U84" s="13" t="str">
        <f aca="false">IF(S84="","",IF(S84=0,"",T84/S84))</f>
        <v/>
      </c>
      <c r="V84" s="33" t="n">
        <v>39486</v>
      </c>
      <c r="X84" s="9" t="s">
        <v>311</v>
      </c>
      <c r="Y84" s="3" t="s">
        <v>312</v>
      </c>
    </row>
    <row r="85" customFormat="false" ht="15" hidden="false" customHeight="false" outlineLevel="0" collapsed="false">
      <c r="A85" s="9" t="s">
        <v>314</v>
      </c>
      <c r="B85" s="9" t="s">
        <v>291</v>
      </c>
      <c r="C85" s="9" t="s">
        <v>221</v>
      </c>
      <c r="D85" s="33" t="n">
        <v>0</v>
      </c>
      <c r="E85" s="33" t="n">
        <v>12462</v>
      </c>
      <c r="F85" s="33" t="n">
        <v>0</v>
      </c>
      <c r="G85" s="33" t="n">
        <v>21095</v>
      </c>
      <c r="H85" s="33" t="n">
        <v>0</v>
      </c>
      <c r="I85" s="33" t="n">
        <v>18732</v>
      </c>
      <c r="J85" s="33" t="n">
        <v>0</v>
      </c>
      <c r="K85" s="33" t="n">
        <v>18636</v>
      </c>
      <c r="L85" s="33" t="n">
        <v>0</v>
      </c>
      <c r="M85" s="12" t="n">
        <f aca="false">SUM(D85:L85)</f>
        <v>70925</v>
      </c>
      <c r="N85" s="37" t="n">
        <f aca="false">$K85</f>
        <v>18636</v>
      </c>
      <c r="O85" s="37" t="n">
        <f aca="false">0</f>
        <v>0</v>
      </c>
      <c r="P85" s="37" t="n">
        <f aca="false">$K85</f>
        <v>18636</v>
      </c>
      <c r="Q85" s="37" t="n">
        <f aca="false">SUM(N85:P85)</f>
        <v>37272</v>
      </c>
      <c r="R85" s="21" t="n">
        <f aca="false">M85+Q85</f>
        <v>108197</v>
      </c>
      <c r="T85" s="12" t="str">
        <f aca="false">IF(S85="","",R85-S85)</f>
        <v/>
      </c>
      <c r="U85" s="13" t="str">
        <f aca="false">IF(S85="","",IF(S85=0,"",T85/S85))</f>
        <v/>
      </c>
      <c r="V85" s="33" t="n">
        <v>98715</v>
      </c>
      <c r="X85" s="9" t="s">
        <v>311</v>
      </c>
      <c r="Y85" s="3" t="s">
        <v>312</v>
      </c>
    </row>
    <row r="86" customFormat="false" ht="15" hidden="false" customHeight="false" outlineLevel="0" collapsed="false">
      <c r="A86" s="9" t="s">
        <v>300</v>
      </c>
      <c r="B86" s="9" t="s">
        <v>291</v>
      </c>
      <c r="C86" s="9" t="s">
        <v>221</v>
      </c>
      <c r="D86" s="33" t="n">
        <v>0</v>
      </c>
      <c r="E86" s="33" t="n">
        <v>0</v>
      </c>
      <c r="F86" s="33" t="n">
        <v>0</v>
      </c>
      <c r="G86" s="33" t="n">
        <v>0</v>
      </c>
      <c r="H86" s="33" t="n">
        <v>0</v>
      </c>
      <c r="I86" s="33" t="n">
        <v>0</v>
      </c>
      <c r="J86" s="33" t="n">
        <v>0</v>
      </c>
      <c r="K86" s="33" t="n">
        <v>0</v>
      </c>
      <c r="L86" s="33" t="n">
        <v>0</v>
      </c>
      <c r="M86" s="12" t="n">
        <f aca="false">SUM(D86:L86)</f>
        <v>0</v>
      </c>
      <c r="N86" s="11" t="n">
        <f aca="false">0</f>
        <v>0</v>
      </c>
      <c r="O86" s="11" t="n">
        <f aca="false">0</f>
        <v>0</v>
      </c>
      <c r="P86" s="11" t="n">
        <f aca="false">(AVERAGE($J72:$L72)+AVERAGE($J73:$L73))/Supuestos!$C$11*Supuestos!$C$12</f>
        <v>91295.4057017544</v>
      </c>
      <c r="Q86" s="37" t="n">
        <f aca="false">SUM(N86:P86)</f>
        <v>91295.4057017544</v>
      </c>
      <c r="R86" s="21" t="n">
        <f aca="false">M86+Q86</f>
        <v>91295.4057017544</v>
      </c>
      <c r="T86" s="12" t="str">
        <f aca="false">IF(S86="","",R86-S86)</f>
        <v/>
      </c>
      <c r="U86" s="13" t="str">
        <f aca="false">IF(S86="","",IF(S86=0,"",T86/S86))</f>
        <v/>
      </c>
      <c r="V86" s="33" t="n">
        <v>75152</v>
      </c>
      <c r="X86" s="9" t="s">
        <v>301</v>
      </c>
      <c r="Y86" s="3" t="s">
        <v>302</v>
      </c>
    </row>
    <row r="87" customFormat="false" ht="15" hidden="false" customHeight="false" outlineLevel="0" collapsed="false">
      <c r="A87" s="9" t="s">
        <v>315</v>
      </c>
      <c r="B87" s="9" t="s">
        <v>291</v>
      </c>
      <c r="C87" s="9" t="s">
        <v>221</v>
      </c>
      <c r="D87" s="33" t="n">
        <v>5054</v>
      </c>
      <c r="E87" s="33" t="n">
        <v>11258</v>
      </c>
      <c r="F87" s="33" t="n">
        <v>7478</v>
      </c>
      <c r="G87" s="33" t="n">
        <v>9629</v>
      </c>
      <c r="H87" s="33" t="n">
        <v>11613</v>
      </c>
      <c r="I87" s="33" t="n">
        <v>10120</v>
      </c>
      <c r="J87" s="33" t="n">
        <v>7500</v>
      </c>
      <c r="K87" s="33" t="n">
        <v>7187</v>
      </c>
      <c r="L87" s="33" t="n">
        <v>7683</v>
      </c>
      <c r="M87" s="12" t="n">
        <f aca="false">SUM(D87:L87)</f>
        <v>77522</v>
      </c>
      <c r="N87" s="11" t="n">
        <f aca="false">AVERAGE($J87:$L87)</f>
        <v>7456.66666666667</v>
      </c>
      <c r="O87" s="11" t="n">
        <f aca="false">AVERAGE($J87:$L87)</f>
        <v>7456.66666666667</v>
      </c>
      <c r="P87" s="11" t="n">
        <f aca="false">AVERAGE($J87:$L87)+Supuestos!$C$10*$P86</f>
        <v>10195.5288377193</v>
      </c>
      <c r="Q87" s="37" t="n">
        <f aca="false">SUM(N87:P87)</f>
        <v>25108.8621710526</v>
      </c>
      <c r="R87" s="21" t="n">
        <f aca="false">M87+Q87</f>
        <v>102630.862171053</v>
      </c>
      <c r="T87" s="12" t="str">
        <f aca="false">IF(S87="","",R87-S87)</f>
        <v/>
      </c>
      <c r="U87" s="13" t="str">
        <f aca="false">IF(S87="","",IF(S87=0,"",T87/S87))</f>
        <v/>
      </c>
      <c r="V87" s="33" t="n">
        <v>93387</v>
      </c>
      <c r="X87" s="9" t="s">
        <v>316</v>
      </c>
      <c r="Y87" s="3" t="s">
        <v>317</v>
      </c>
    </row>
    <row r="88" customFormat="false" ht="15" hidden="false" customHeight="false" outlineLevel="0" collapsed="false">
      <c r="A88" s="3" t="s">
        <v>274</v>
      </c>
      <c r="V88" s="33" t="n">
        <v>1347</v>
      </c>
      <c r="X88" s="3" t="s">
        <v>275</v>
      </c>
      <c r="Y88" s="3" t="s">
        <v>276</v>
      </c>
    </row>
    <row r="89" customFormat="false" ht="15" hidden="false" customHeight="false" outlineLevel="0" collapsed="false">
      <c r="A89" s="40" t="s">
        <v>329</v>
      </c>
      <c r="B89" s="41"/>
      <c r="C89" s="41"/>
      <c r="D89" s="42" t="n">
        <f aca="false">SUM(D72:D88)</f>
        <v>179113</v>
      </c>
      <c r="E89" s="42" t="n">
        <f aca="false">SUM(E72:E88)</f>
        <v>220067</v>
      </c>
      <c r="F89" s="42" t="n">
        <f aca="false">SUM(F72:F88)</f>
        <v>178561</v>
      </c>
      <c r="G89" s="42" t="n">
        <f aca="false">SUM(G72:G88)</f>
        <v>346962</v>
      </c>
      <c r="H89" s="42" t="n">
        <f aca="false">SUM(H72:H88)</f>
        <v>361545</v>
      </c>
      <c r="I89" s="42" t="n">
        <f aca="false">SUM(I72:I88)</f>
        <v>297193</v>
      </c>
      <c r="J89" s="42" t="n">
        <f aca="false">SUM(J72:J88)</f>
        <v>236844</v>
      </c>
      <c r="K89" s="42" t="n">
        <f aca="false">SUM(K72:K88)</f>
        <v>300734</v>
      </c>
      <c r="L89" s="42" t="n">
        <f aca="false">SUM(L72:L88)</f>
        <v>224514</v>
      </c>
      <c r="M89" s="42" t="n">
        <f aca="false">SUM(M72:M88)</f>
        <v>2345533</v>
      </c>
      <c r="N89" s="42" t="n">
        <f aca="false">SUM(N72:N88)</f>
        <v>294377.833333333</v>
      </c>
      <c r="O89" s="42" t="n">
        <f aca="false">SUM(O72:O88)</f>
        <v>237420.833333333</v>
      </c>
      <c r="P89" s="42" t="n">
        <f aca="false">SUM(P72:P88)</f>
        <v>388412.10120614</v>
      </c>
      <c r="Q89" s="42" t="n">
        <f aca="false">SUM(Q72:Q88)</f>
        <v>920210.767872807</v>
      </c>
      <c r="R89" s="42" t="n">
        <f aca="false">SUM(R72:R88)</f>
        <v>3265743.76787281</v>
      </c>
      <c r="S89" s="42" t="n">
        <f aca="false">IF(COUNTIF('Presupuesto 2026'!$B:$B,$A89)=0,"",SUMIF('Presupuesto 2026'!$B:$B,$A89,'Presupuesto 2026'!$D:$D))</f>
        <v>2737227.08</v>
      </c>
      <c r="T89" s="42" t="n">
        <f aca="false">IF(S89="","",R89-S89)</f>
        <v>528516.687872807</v>
      </c>
      <c r="U89" s="43" t="n">
        <f aca="false">IF(S89="","",IF(S89=0,"",T89/S89))</f>
        <v>0.193084706685281</v>
      </c>
      <c r="V89" s="42" t="n">
        <f aca="false">SUM(V72:V88)</f>
        <v>3002540</v>
      </c>
      <c r="W89" s="41"/>
      <c r="X89" s="41"/>
      <c r="Y89" s="41"/>
    </row>
    <row r="91" customFormat="false" ht="15" hidden="false" customHeight="false" outlineLevel="0" collapsed="false">
      <c r="A91" s="6" t="s">
        <v>330</v>
      </c>
      <c r="B91" s="7" t="s">
        <v>331</v>
      </c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</row>
    <row r="92" customFormat="false" ht="15" hidden="false" customHeight="false" outlineLevel="0" collapsed="false">
      <c r="A92" s="9" t="s">
        <v>290</v>
      </c>
      <c r="B92" s="9" t="s">
        <v>291</v>
      </c>
      <c r="C92" s="9" t="s">
        <v>221</v>
      </c>
      <c r="D92" s="33" t="n">
        <v>176283</v>
      </c>
      <c r="E92" s="33" t="n">
        <v>192435</v>
      </c>
      <c r="F92" s="33" t="n">
        <v>195253</v>
      </c>
      <c r="G92" s="33" t="n">
        <v>208944</v>
      </c>
      <c r="H92" s="33" t="n">
        <v>156388</v>
      </c>
      <c r="I92" s="33" t="n">
        <v>180976</v>
      </c>
      <c r="J92" s="33" t="n">
        <v>169371</v>
      </c>
      <c r="K92" s="33" t="n">
        <v>189185</v>
      </c>
      <c r="L92" s="33" t="n">
        <v>153971</v>
      </c>
      <c r="M92" s="12" t="n">
        <f aca="false">SUM(D92:L92)</f>
        <v>1622806</v>
      </c>
      <c r="N92" s="37" t="n">
        <f aca="false">AVERAGE($J92:$L92)</f>
        <v>170842.333333333</v>
      </c>
      <c r="O92" s="37" t="n">
        <f aca="false">AVERAGE($J92:$L92)</f>
        <v>170842.333333333</v>
      </c>
      <c r="P92" s="37" t="n">
        <f aca="false">AVERAGE($J92:$L92)</f>
        <v>170842.333333333</v>
      </c>
      <c r="Q92" s="37" t="n">
        <f aca="false">SUM(N92:P92)</f>
        <v>512527</v>
      </c>
      <c r="R92" s="21" t="n">
        <f aca="false">M92+Q92</f>
        <v>2135333</v>
      </c>
      <c r="T92" s="12" t="str">
        <f aca="false">IF(S92="","",R92-S92)</f>
        <v/>
      </c>
      <c r="U92" s="13" t="str">
        <f aca="false">IF(S92="","",IF(S92=0,"",T92/S92))</f>
        <v/>
      </c>
      <c r="V92" s="33" t="n">
        <v>2473141</v>
      </c>
      <c r="X92" s="9" t="s">
        <v>292</v>
      </c>
      <c r="Y92" s="3" t="s">
        <v>293</v>
      </c>
    </row>
    <row r="93" customFormat="false" ht="15" hidden="false" customHeight="false" outlineLevel="0" collapsed="false">
      <c r="A93" s="9" t="s">
        <v>294</v>
      </c>
      <c r="B93" s="9" t="s">
        <v>291</v>
      </c>
      <c r="C93" s="9" t="s">
        <v>221</v>
      </c>
      <c r="D93" s="33" t="n">
        <v>12222</v>
      </c>
      <c r="E93" s="33" t="n">
        <v>281</v>
      </c>
      <c r="F93" s="33" t="n">
        <v>0</v>
      </c>
      <c r="G93" s="33" t="n">
        <v>4934</v>
      </c>
      <c r="H93" s="33" t="n">
        <v>1962</v>
      </c>
      <c r="I93" s="33" t="n">
        <v>2228</v>
      </c>
      <c r="J93" s="33" t="n">
        <v>23991</v>
      </c>
      <c r="K93" s="33" t="n">
        <v>387</v>
      </c>
      <c r="L93" s="33" t="n">
        <v>24668</v>
      </c>
      <c r="M93" s="12" t="n">
        <f aca="false">SUM(D93:L93)</f>
        <v>70673</v>
      </c>
      <c r="N93" s="37" t="n">
        <f aca="false">AVERAGE($G93:$L93)</f>
        <v>9695</v>
      </c>
      <c r="O93" s="37" t="n">
        <f aca="false">AVERAGE($G93:$L93)</f>
        <v>9695</v>
      </c>
      <c r="P93" s="37" t="n">
        <f aca="false">AVERAGE($G93:$L93)</f>
        <v>9695</v>
      </c>
      <c r="Q93" s="37" t="n">
        <f aca="false">SUM(N93:P93)</f>
        <v>29085</v>
      </c>
      <c r="R93" s="21" t="n">
        <f aca="false">M93+Q93</f>
        <v>99758</v>
      </c>
      <c r="T93" s="12" t="str">
        <f aca="false">IF(S93="","",R93-S93)</f>
        <v/>
      </c>
      <c r="U93" s="13" t="str">
        <f aca="false">IF(S93="","",IF(S93=0,"",T93/S93))</f>
        <v/>
      </c>
      <c r="V93" s="33" t="n">
        <v>15962</v>
      </c>
      <c r="X93" s="9" t="s">
        <v>248</v>
      </c>
      <c r="Y93" s="3" t="s">
        <v>249</v>
      </c>
    </row>
    <row r="94" customFormat="false" ht="15" hidden="false" customHeight="false" outlineLevel="0" collapsed="false">
      <c r="A94" s="9" t="s">
        <v>295</v>
      </c>
      <c r="B94" s="9" t="s">
        <v>291</v>
      </c>
      <c r="C94" s="9" t="s">
        <v>221</v>
      </c>
      <c r="D94" s="33" t="n">
        <v>4504</v>
      </c>
      <c r="E94" s="33" t="n">
        <v>1272</v>
      </c>
      <c r="F94" s="33" t="n">
        <v>1030</v>
      </c>
      <c r="G94" s="33" t="n">
        <v>1233</v>
      </c>
      <c r="H94" s="33" t="n">
        <v>0</v>
      </c>
      <c r="I94" s="33" t="n">
        <v>557</v>
      </c>
      <c r="J94" s="33" t="n">
        <v>2736</v>
      </c>
      <c r="K94" s="33" t="n">
        <v>97</v>
      </c>
      <c r="L94" s="33" t="n">
        <v>7942</v>
      </c>
      <c r="M94" s="12" t="n">
        <f aca="false">SUM(D94:L94)</f>
        <v>19371</v>
      </c>
      <c r="N94" s="37" t="n">
        <f aca="false">AVERAGE($G94:$L94)</f>
        <v>2094.16666666667</v>
      </c>
      <c r="O94" s="37" t="n">
        <f aca="false">AVERAGE($G94:$L94)</f>
        <v>2094.16666666667</v>
      </c>
      <c r="P94" s="37" t="n">
        <f aca="false">AVERAGE($G94:$L94)</f>
        <v>2094.16666666667</v>
      </c>
      <c r="Q94" s="37" t="n">
        <f aca="false">SUM(N94:P94)</f>
        <v>6282.5</v>
      </c>
      <c r="R94" s="21" t="n">
        <f aca="false">M94+Q94</f>
        <v>25653.5</v>
      </c>
      <c r="T94" s="12" t="str">
        <f aca="false">IF(S94="","",R94-S94)</f>
        <v/>
      </c>
      <c r="U94" s="13" t="str">
        <f aca="false">IF(S94="","",IF(S94=0,"",T94/S94))</f>
        <v/>
      </c>
      <c r="V94" s="33" t="n">
        <v>20482</v>
      </c>
      <c r="X94" s="9" t="s">
        <v>248</v>
      </c>
      <c r="Y94" s="3" t="s">
        <v>249</v>
      </c>
    </row>
    <row r="95" customFormat="false" ht="15" hidden="false" customHeight="false" outlineLevel="0" collapsed="false">
      <c r="A95" s="9" t="s">
        <v>325</v>
      </c>
      <c r="B95" s="9" t="s">
        <v>291</v>
      </c>
      <c r="C95" s="9" t="s">
        <v>221</v>
      </c>
      <c r="D95" s="33" t="n">
        <v>257</v>
      </c>
      <c r="E95" s="33" t="n">
        <v>0</v>
      </c>
      <c r="F95" s="33" t="n">
        <v>0</v>
      </c>
      <c r="G95" s="33" t="n">
        <v>1518</v>
      </c>
      <c r="H95" s="33" t="n">
        <v>0</v>
      </c>
      <c r="I95" s="33" t="n">
        <v>0</v>
      </c>
      <c r="J95" s="33" t="n">
        <v>0</v>
      </c>
      <c r="K95" s="33" t="n">
        <v>0</v>
      </c>
      <c r="L95" s="33" t="n">
        <v>-1775</v>
      </c>
      <c r="M95" s="12" t="n">
        <f aca="false">SUM(D95:L95)</f>
        <v>0</v>
      </c>
      <c r="N95" s="37" t="n">
        <f aca="false">0</f>
        <v>0</v>
      </c>
      <c r="O95" s="37" t="n">
        <f aca="false">0</f>
        <v>0</v>
      </c>
      <c r="P95" s="37" t="n">
        <f aca="false">0</f>
        <v>0</v>
      </c>
      <c r="Q95" s="37" t="n">
        <f aca="false">SUM(N95:P95)</f>
        <v>0</v>
      </c>
      <c r="R95" s="21" t="n">
        <f aca="false">M95+Q95</f>
        <v>0</v>
      </c>
      <c r="T95" s="12" t="str">
        <f aca="false">IF(S95="","",R95-S95)</f>
        <v/>
      </c>
      <c r="U95" s="13" t="str">
        <f aca="false">IF(S95="","",IF(S95=0,"",T95/S95))</f>
        <v/>
      </c>
      <c r="V95" s="33" t="n">
        <v>4345</v>
      </c>
      <c r="X95" s="9" t="s">
        <v>297</v>
      </c>
      <c r="Y95" s="3" t="s">
        <v>298</v>
      </c>
    </row>
    <row r="96" customFormat="false" ht="15" hidden="false" customHeight="false" outlineLevel="0" collapsed="false">
      <c r="A96" s="9" t="s">
        <v>299</v>
      </c>
      <c r="B96" s="9" t="s">
        <v>291</v>
      </c>
      <c r="C96" s="9" t="s">
        <v>221</v>
      </c>
      <c r="D96" s="33" t="n">
        <v>0</v>
      </c>
      <c r="E96" s="33" t="n">
        <v>463</v>
      </c>
      <c r="F96" s="33" t="n">
        <v>0</v>
      </c>
      <c r="G96" s="33" t="n">
        <v>0</v>
      </c>
      <c r="H96" s="33" t="n">
        <v>1150</v>
      </c>
      <c r="I96" s="33" t="n">
        <v>3002</v>
      </c>
      <c r="J96" s="33" t="n">
        <v>2574</v>
      </c>
      <c r="K96" s="33" t="n">
        <v>0</v>
      </c>
      <c r="L96" s="33" t="n">
        <v>0</v>
      </c>
      <c r="M96" s="12" t="n">
        <f aca="false">SUM(D96:L96)</f>
        <v>7189</v>
      </c>
      <c r="N96" s="37" t="n">
        <f aca="false">0</f>
        <v>0</v>
      </c>
      <c r="O96" s="37" t="n">
        <f aca="false">0</f>
        <v>0</v>
      </c>
      <c r="P96" s="37" t="n">
        <f aca="false">0</f>
        <v>0</v>
      </c>
      <c r="Q96" s="37" t="n">
        <f aca="false">SUM(N96:P96)</f>
        <v>0</v>
      </c>
      <c r="R96" s="21" t="n">
        <f aca="false">M96+Q96</f>
        <v>7189</v>
      </c>
      <c r="T96" s="12" t="str">
        <f aca="false">IF(S96="","",R96-S96)</f>
        <v/>
      </c>
      <c r="U96" s="13" t="str">
        <f aca="false">IF(S96="","",IF(S96=0,"",T96/S96))</f>
        <v/>
      </c>
      <c r="V96" s="33" t="n">
        <v>18876</v>
      </c>
      <c r="X96" s="9" t="s">
        <v>297</v>
      </c>
      <c r="Y96" s="3" t="s">
        <v>298</v>
      </c>
    </row>
    <row r="97" customFormat="false" ht="15" hidden="false" customHeight="false" outlineLevel="0" collapsed="false">
      <c r="A97" s="9" t="s">
        <v>300</v>
      </c>
      <c r="B97" s="9" t="s">
        <v>291</v>
      </c>
      <c r="C97" s="9" t="s">
        <v>221</v>
      </c>
      <c r="D97" s="33" t="n">
        <v>0</v>
      </c>
      <c r="E97" s="33" t="n">
        <v>0</v>
      </c>
      <c r="F97" s="33" t="n">
        <v>0</v>
      </c>
      <c r="G97" s="33" t="n">
        <v>0</v>
      </c>
      <c r="H97" s="33" t="n">
        <v>0</v>
      </c>
      <c r="I97" s="33" t="n">
        <v>0</v>
      </c>
      <c r="J97" s="33" t="n">
        <v>6292</v>
      </c>
      <c r="K97" s="33" t="n">
        <v>546</v>
      </c>
      <c r="L97" s="33" t="n">
        <v>0</v>
      </c>
      <c r="M97" s="12" t="n">
        <f aca="false">SUM(D97:L97)</f>
        <v>6838</v>
      </c>
      <c r="N97" s="11" t="n">
        <f aca="false">0</f>
        <v>0</v>
      </c>
      <c r="O97" s="11" t="n">
        <f aca="false">0</f>
        <v>0</v>
      </c>
      <c r="P97" s="11" t="n">
        <f aca="false">(AVERAGE($J92:$L92)+AVERAGE($J93:$L93))/Supuestos!$C$11*Supuestos!$C$12</f>
        <v>104679.177631579</v>
      </c>
      <c r="Q97" s="37" t="n">
        <f aca="false">SUM(N97:P97)</f>
        <v>104679.177631579</v>
      </c>
      <c r="R97" s="21" t="n">
        <f aca="false">M97+Q97</f>
        <v>111517.177631579</v>
      </c>
      <c r="T97" s="12" t="str">
        <f aca="false">IF(S97="","",R97-S97)</f>
        <v/>
      </c>
      <c r="U97" s="13" t="str">
        <f aca="false">IF(S97="","",IF(S97=0,"",T97/S97))</f>
        <v/>
      </c>
      <c r="V97" s="33" t="n">
        <v>109836</v>
      </c>
      <c r="X97" s="9" t="s">
        <v>301</v>
      </c>
      <c r="Y97" s="3" t="s">
        <v>302</v>
      </c>
    </row>
    <row r="98" customFormat="false" ht="15" hidden="false" customHeight="false" outlineLevel="0" collapsed="false">
      <c r="A98" s="9" t="s">
        <v>321</v>
      </c>
      <c r="B98" s="9" t="s">
        <v>291</v>
      </c>
      <c r="C98" s="9" t="s">
        <v>221</v>
      </c>
      <c r="D98" s="33" t="n">
        <v>7840</v>
      </c>
      <c r="E98" s="33" t="n">
        <v>8680</v>
      </c>
      <c r="F98" s="33" t="n">
        <v>7840</v>
      </c>
      <c r="G98" s="33" t="n">
        <v>5320</v>
      </c>
      <c r="H98" s="33" t="n">
        <v>4200</v>
      </c>
      <c r="I98" s="33" t="n">
        <v>5040</v>
      </c>
      <c r="J98" s="33" t="n">
        <v>6720</v>
      </c>
      <c r="K98" s="33" t="n">
        <v>6440</v>
      </c>
      <c r="L98" s="33" t="n">
        <v>6440</v>
      </c>
      <c r="M98" s="12" t="n">
        <f aca="false">SUM(D98:L98)</f>
        <v>58520</v>
      </c>
      <c r="N98" s="37" t="n">
        <f aca="false">AVERAGE($J98:$L98)</f>
        <v>6533.33333333333</v>
      </c>
      <c r="O98" s="37" t="n">
        <f aca="false">AVERAGE($J98:$L98)</f>
        <v>6533.33333333333</v>
      </c>
      <c r="P98" s="37" t="n">
        <f aca="false">AVERAGE($J98:$L98)</f>
        <v>6533.33333333333</v>
      </c>
      <c r="Q98" s="37" t="n">
        <f aca="false">SUM(N98:P98)</f>
        <v>19600</v>
      </c>
      <c r="R98" s="21" t="n">
        <f aca="false">M98+Q98</f>
        <v>78120</v>
      </c>
      <c r="T98" s="12" t="str">
        <f aca="false">IF(S98="","",R98-S98)</f>
        <v/>
      </c>
      <c r="U98" s="13" t="str">
        <f aca="false">IF(S98="","",IF(S98=0,"",T98/S98))</f>
        <v/>
      </c>
      <c r="V98" s="33" t="n">
        <v>98840</v>
      </c>
      <c r="X98" s="9" t="s">
        <v>304</v>
      </c>
      <c r="Y98" s="3" t="s">
        <v>305</v>
      </c>
    </row>
    <row r="99" customFormat="false" ht="15" hidden="false" customHeight="false" outlineLevel="0" collapsed="false">
      <c r="A99" s="9" t="s">
        <v>306</v>
      </c>
      <c r="B99" s="9" t="s">
        <v>291</v>
      </c>
      <c r="C99" s="9" t="s">
        <v>221</v>
      </c>
      <c r="D99" s="33" t="n">
        <v>24506</v>
      </c>
      <c r="E99" s="33" t="n">
        <v>25053</v>
      </c>
      <c r="F99" s="33" t="n">
        <v>25382</v>
      </c>
      <c r="G99" s="33" t="n">
        <v>21733</v>
      </c>
      <c r="H99" s="33" t="n">
        <v>20232</v>
      </c>
      <c r="I99" s="33" t="n">
        <v>23817</v>
      </c>
      <c r="J99" s="33" t="n">
        <v>23097</v>
      </c>
      <c r="K99" s="33" t="n">
        <v>24644</v>
      </c>
      <c r="L99" s="33" t="n">
        <v>23223</v>
      </c>
      <c r="M99" s="12" t="n">
        <f aca="false">SUM(D99:L99)</f>
        <v>211687</v>
      </c>
      <c r="N99" s="37" t="n">
        <f aca="false">AVERAGE($J99:$L99)</f>
        <v>23654.6666666667</v>
      </c>
      <c r="O99" s="37" t="n">
        <f aca="false">AVERAGE($J99:$L99)</f>
        <v>23654.6666666667</v>
      </c>
      <c r="P99" s="37" t="n">
        <f aca="false">AVERAGE($J99:$L99)</f>
        <v>23654.6666666667</v>
      </c>
      <c r="Q99" s="37" t="n">
        <f aca="false">SUM(N99:P99)</f>
        <v>70964</v>
      </c>
      <c r="R99" s="21" t="n">
        <f aca="false">M99+Q99</f>
        <v>282651</v>
      </c>
      <c r="T99" s="12" t="str">
        <f aca="false">IF(S99="","",R99-S99)</f>
        <v/>
      </c>
      <c r="U99" s="13" t="str">
        <f aca="false">IF(S99="","",IF(S99=0,"",T99/S99))</f>
        <v/>
      </c>
      <c r="V99" s="33" t="n">
        <v>313565</v>
      </c>
      <c r="X99" s="9" t="s">
        <v>304</v>
      </c>
      <c r="Y99" s="3" t="s">
        <v>305</v>
      </c>
    </row>
    <row r="100" customFormat="false" ht="15" hidden="false" customHeight="false" outlineLevel="0" collapsed="false">
      <c r="A100" s="9" t="s">
        <v>307</v>
      </c>
      <c r="B100" s="9" t="s">
        <v>291</v>
      </c>
      <c r="C100" s="9" t="s">
        <v>221</v>
      </c>
      <c r="D100" s="33" t="n">
        <v>28272</v>
      </c>
      <c r="E100" s="33" t="n">
        <v>29412</v>
      </c>
      <c r="F100" s="33" t="n">
        <v>29284</v>
      </c>
      <c r="G100" s="33" t="n">
        <v>25079</v>
      </c>
      <c r="H100" s="33" t="n">
        <v>23847</v>
      </c>
      <c r="I100" s="33" t="n">
        <v>27427</v>
      </c>
      <c r="J100" s="33" t="n">
        <v>13433</v>
      </c>
      <c r="K100" s="33" t="n">
        <v>28941</v>
      </c>
      <c r="L100" s="33" t="n">
        <v>26800</v>
      </c>
      <c r="M100" s="12" t="n">
        <f aca="false">SUM(D100:L100)</f>
        <v>232495</v>
      </c>
      <c r="N100" s="37" t="n">
        <f aca="false">AVERAGE($J100:$L100)</f>
        <v>23058</v>
      </c>
      <c r="O100" s="37" t="n">
        <f aca="false">AVERAGE($J100:$L100)</f>
        <v>23058</v>
      </c>
      <c r="P100" s="37" t="n">
        <f aca="false">AVERAGE($J100:$L100)</f>
        <v>23058</v>
      </c>
      <c r="Q100" s="37" t="n">
        <f aca="false">SUM(N100:P100)</f>
        <v>69174</v>
      </c>
      <c r="R100" s="21" t="n">
        <f aca="false">M100+Q100</f>
        <v>301669</v>
      </c>
      <c r="T100" s="12" t="str">
        <f aca="false">IF(S100="","",R100-S100)</f>
        <v/>
      </c>
      <c r="U100" s="13" t="str">
        <f aca="false">IF(S100="","",IF(S100=0,"",T100/S100))</f>
        <v/>
      </c>
      <c r="V100" s="33" t="n">
        <v>379251</v>
      </c>
      <c r="X100" s="9" t="s">
        <v>304</v>
      </c>
      <c r="Y100" s="3" t="s">
        <v>305</v>
      </c>
    </row>
    <row r="101" customFormat="false" ht="15" hidden="false" customHeight="false" outlineLevel="0" collapsed="false">
      <c r="A101" s="9" t="s">
        <v>308</v>
      </c>
      <c r="B101" s="9" t="s">
        <v>291</v>
      </c>
      <c r="C101" s="9" t="s">
        <v>221</v>
      </c>
      <c r="D101" s="33" t="n">
        <v>0</v>
      </c>
      <c r="E101" s="33" t="n">
        <v>0</v>
      </c>
      <c r="F101" s="33" t="n">
        <v>0</v>
      </c>
      <c r="G101" s="33" t="n">
        <v>0</v>
      </c>
      <c r="H101" s="33" t="n">
        <v>95004</v>
      </c>
      <c r="I101" s="33" t="n">
        <v>0</v>
      </c>
      <c r="J101" s="33" t="n">
        <v>0</v>
      </c>
      <c r="K101" s="33" t="n">
        <v>0</v>
      </c>
      <c r="L101" s="33" t="n">
        <v>0</v>
      </c>
      <c r="M101" s="12" t="n">
        <f aca="false">SUM(D101:L101)</f>
        <v>95004</v>
      </c>
      <c r="N101" s="37" t="n">
        <f aca="false">0</f>
        <v>0</v>
      </c>
      <c r="O101" s="37" t="n">
        <f aca="false">0</f>
        <v>0</v>
      </c>
      <c r="P101" s="37" t="n">
        <f aca="false">0</f>
        <v>0</v>
      </c>
      <c r="Q101" s="37" t="n">
        <f aca="false">SUM(N101:P101)</f>
        <v>0</v>
      </c>
      <c r="R101" s="21" t="n">
        <f aca="false">M101+Q101</f>
        <v>95004</v>
      </c>
      <c r="T101" s="12" t="str">
        <f aca="false">IF(S101="","",R101-S101)</f>
        <v/>
      </c>
      <c r="U101" s="13" t="str">
        <f aca="false">IF(S101="","",IF(S101=0,"",T101/S101))</f>
        <v/>
      </c>
      <c r="V101" s="33" t="n">
        <v>71208</v>
      </c>
      <c r="X101" s="9" t="s">
        <v>297</v>
      </c>
      <c r="Y101" s="3" t="s">
        <v>298</v>
      </c>
    </row>
    <row r="102" customFormat="false" ht="15" hidden="false" customHeight="false" outlineLevel="0" collapsed="false">
      <c r="A102" s="9" t="s">
        <v>332</v>
      </c>
      <c r="B102" s="9" t="s">
        <v>291</v>
      </c>
      <c r="C102" s="9" t="s">
        <v>221</v>
      </c>
      <c r="D102" s="33" t="n">
        <v>0</v>
      </c>
      <c r="E102" s="33" t="n">
        <v>0</v>
      </c>
      <c r="F102" s="33" t="n">
        <v>0</v>
      </c>
      <c r="G102" s="33" t="n">
        <v>0</v>
      </c>
      <c r="H102" s="33" t="n">
        <v>0</v>
      </c>
      <c r="I102" s="33" t="n">
        <v>0</v>
      </c>
      <c r="J102" s="33" t="n">
        <v>0</v>
      </c>
      <c r="K102" s="33" t="n">
        <v>2000</v>
      </c>
      <c r="L102" s="33" t="n">
        <v>0</v>
      </c>
      <c r="M102" s="12" t="n">
        <f aca="false">SUM(D102:L102)</f>
        <v>2000</v>
      </c>
      <c r="N102" s="37" t="n">
        <f aca="false">0</f>
        <v>0</v>
      </c>
      <c r="O102" s="37" t="n">
        <f aca="false">0</f>
        <v>0</v>
      </c>
      <c r="P102" s="37" t="n">
        <f aca="false">0</f>
        <v>0</v>
      </c>
      <c r="Q102" s="37" t="n">
        <f aca="false">SUM(N102:P102)</f>
        <v>0</v>
      </c>
      <c r="R102" s="21" t="n">
        <f aca="false">M102+Q102</f>
        <v>2000</v>
      </c>
      <c r="T102" s="12" t="str">
        <f aca="false">IF(S102="","",R102-S102)</f>
        <v/>
      </c>
      <c r="U102" s="13" t="str">
        <f aca="false">IF(S102="","",IF(S102=0,"",T102/S102))</f>
        <v/>
      </c>
      <c r="V102" s="33" t="n">
        <v>2000</v>
      </c>
      <c r="X102" s="9" t="s">
        <v>297</v>
      </c>
      <c r="Y102" s="3" t="s">
        <v>298</v>
      </c>
    </row>
    <row r="103" customFormat="false" ht="15" hidden="false" customHeight="false" outlineLevel="0" collapsed="false">
      <c r="A103" s="9" t="s">
        <v>309</v>
      </c>
      <c r="B103" s="9" t="s">
        <v>291</v>
      </c>
      <c r="C103" s="9" t="s">
        <v>221</v>
      </c>
      <c r="D103" s="33" t="n">
        <v>16322</v>
      </c>
      <c r="E103" s="33" t="n">
        <v>16129</v>
      </c>
      <c r="F103" s="33" t="n">
        <v>14944</v>
      </c>
      <c r="G103" s="33" t="n">
        <v>17015</v>
      </c>
      <c r="H103" s="33" t="n">
        <v>14628</v>
      </c>
      <c r="I103" s="33" t="n">
        <v>17216</v>
      </c>
      <c r="J103" s="33" t="n">
        <v>17430</v>
      </c>
      <c r="K103" s="33" t="n">
        <v>18196</v>
      </c>
      <c r="L103" s="33" t="n">
        <v>15594</v>
      </c>
      <c r="M103" s="12" t="n">
        <f aca="false">SUM(D103:L103)</f>
        <v>147474</v>
      </c>
      <c r="N103" s="37" t="n">
        <f aca="false">AVERAGE($J103:$L103)</f>
        <v>17073.3333333333</v>
      </c>
      <c r="O103" s="37" t="n">
        <f aca="false">AVERAGE($J103:$L103)</f>
        <v>17073.3333333333</v>
      </c>
      <c r="P103" s="37" t="n">
        <f aca="false">AVERAGE($J103:$L103)</f>
        <v>17073.3333333333</v>
      </c>
      <c r="Q103" s="37" t="n">
        <f aca="false">SUM(N103:P103)</f>
        <v>51220</v>
      </c>
      <c r="R103" s="21" t="n">
        <f aca="false">M103+Q103</f>
        <v>198694</v>
      </c>
      <c r="T103" s="12" t="str">
        <f aca="false">IF(S103="","",R103-S103)</f>
        <v/>
      </c>
      <c r="U103" s="13" t="str">
        <f aca="false">IF(S103="","",IF(S103=0,"",T103/S103))</f>
        <v/>
      </c>
      <c r="V103" s="33" t="n">
        <v>240162</v>
      </c>
      <c r="X103" s="9" t="s">
        <v>304</v>
      </c>
      <c r="Y103" s="3" t="s">
        <v>305</v>
      </c>
    </row>
    <row r="104" customFormat="false" ht="15" hidden="false" customHeight="false" outlineLevel="0" collapsed="false">
      <c r="A104" s="9" t="s">
        <v>310</v>
      </c>
      <c r="B104" s="9" t="s">
        <v>291</v>
      </c>
      <c r="C104" s="9" t="s">
        <v>221</v>
      </c>
      <c r="D104" s="33" t="n">
        <v>0</v>
      </c>
      <c r="E104" s="33" t="n">
        <v>35879</v>
      </c>
      <c r="F104" s="33" t="n">
        <v>0</v>
      </c>
      <c r="G104" s="33" t="n">
        <v>35591</v>
      </c>
      <c r="H104" s="33" t="n">
        <v>0</v>
      </c>
      <c r="I104" s="33" t="n">
        <v>36825</v>
      </c>
      <c r="J104" s="33" t="n">
        <v>0</v>
      </c>
      <c r="K104" s="33" t="n">
        <v>37509</v>
      </c>
      <c r="L104" s="33" t="n">
        <v>0</v>
      </c>
      <c r="M104" s="12" t="n">
        <f aca="false">SUM(D104:L104)</f>
        <v>145804</v>
      </c>
      <c r="N104" s="37" t="n">
        <f aca="false">$K104</f>
        <v>37509</v>
      </c>
      <c r="O104" s="37" t="n">
        <f aca="false">0</f>
        <v>0</v>
      </c>
      <c r="P104" s="37" t="n">
        <f aca="false">$K104</f>
        <v>37509</v>
      </c>
      <c r="Q104" s="37" t="n">
        <f aca="false">SUM(N104:P104)</f>
        <v>75018</v>
      </c>
      <c r="R104" s="21" t="n">
        <f aca="false">M104+Q104</f>
        <v>220822</v>
      </c>
      <c r="T104" s="12" t="str">
        <f aca="false">IF(S104="","",R104-S104)</f>
        <v/>
      </c>
      <c r="U104" s="13" t="str">
        <f aca="false">IF(S104="","",IF(S104=0,"",T104/S104))</f>
        <v/>
      </c>
      <c r="V104" s="33" t="n">
        <v>204728</v>
      </c>
      <c r="X104" s="9" t="s">
        <v>311</v>
      </c>
      <c r="Y104" s="3" t="s">
        <v>312</v>
      </c>
    </row>
    <row r="105" customFormat="false" ht="15" hidden="false" customHeight="false" outlineLevel="0" collapsed="false">
      <c r="A105" s="9" t="s">
        <v>313</v>
      </c>
      <c r="B105" s="9" t="s">
        <v>291</v>
      </c>
      <c r="C105" s="9" t="s">
        <v>221</v>
      </c>
      <c r="D105" s="33" t="n">
        <v>0</v>
      </c>
      <c r="E105" s="33" t="n">
        <v>8844</v>
      </c>
      <c r="F105" s="33" t="n">
        <v>0</v>
      </c>
      <c r="G105" s="33" t="n">
        <v>8854</v>
      </c>
      <c r="H105" s="33" t="n">
        <v>0</v>
      </c>
      <c r="I105" s="33" t="n">
        <v>8962</v>
      </c>
      <c r="J105" s="33" t="n">
        <v>0</v>
      </c>
      <c r="K105" s="33" t="n">
        <v>9058</v>
      </c>
      <c r="L105" s="33" t="n">
        <v>0</v>
      </c>
      <c r="M105" s="12" t="n">
        <f aca="false">SUM(D105:L105)</f>
        <v>35718</v>
      </c>
      <c r="N105" s="37" t="n">
        <f aca="false">$K105</f>
        <v>9058</v>
      </c>
      <c r="O105" s="37" t="n">
        <f aca="false">0</f>
        <v>0</v>
      </c>
      <c r="P105" s="37" t="n">
        <f aca="false">$K105</f>
        <v>9058</v>
      </c>
      <c r="Q105" s="37" t="n">
        <f aca="false">SUM(N105:P105)</f>
        <v>18116</v>
      </c>
      <c r="R105" s="21" t="n">
        <f aca="false">M105+Q105</f>
        <v>53834</v>
      </c>
      <c r="T105" s="12" t="str">
        <f aca="false">IF(S105="","",R105-S105)</f>
        <v/>
      </c>
      <c r="U105" s="13" t="str">
        <f aca="false">IF(S105="","",IF(S105=0,"",T105/S105))</f>
        <v/>
      </c>
      <c r="V105" s="33" t="n">
        <v>56748</v>
      </c>
      <c r="X105" s="9" t="s">
        <v>311</v>
      </c>
      <c r="Y105" s="3" t="s">
        <v>312</v>
      </c>
    </row>
    <row r="106" customFormat="false" ht="15" hidden="false" customHeight="false" outlineLevel="0" collapsed="false">
      <c r="A106" s="9" t="s">
        <v>314</v>
      </c>
      <c r="B106" s="9" t="s">
        <v>291</v>
      </c>
      <c r="C106" s="9" t="s">
        <v>221</v>
      </c>
      <c r="D106" s="33" t="n">
        <v>0</v>
      </c>
      <c r="E106" s="33" t="n">
        <v>22111</v>
      </c>
      <c r="F106" s="33" t="n">
        <v>0</v>
      </c>
      <c r="G106" s="33" t="n">
        <v>22135</v>
      </c>
      <c r="H106" s="33" t="n">
        <v>0</v>
      </c>
      <c r="I106" s="33" t="n">
        <v>22406</v>
      </c>
      <c r="J106" s="33" t="n">
        <v>0</v>
      </c>
      <c r="K106" s="33" t="n">
        <v>22646</v>
      </c>
      <c r="L106" s="33" t="n">
        <v>0</v>
      </c>
      <c r="M106" s="12" t="n">
        <f aca="false">SUM(D106:L106)</f>
        <v>89298</v>
      </c>
      <c r="N106" s="37" t="n">
        <f aca="false">$K106</f>
        <v>22646</v>
      </c>
      <c r="O106" s="37" t="n">
        <f aca="false">0</f>
        <v>0</v>
      </c>
      <c r="P106" s="37" t="n">
        <f aca="false">$K106</f>
        <v>22646</v>
      </c>
      <c r="Q106" s="37" t="n">
        <f aca="false">SUM(N106:P106)</f>
        <v>45292</v>
      </c>
      <c r="R106" s="21" t="n">
        <f aca="false">M106+Q106</f>
        <v>134590</v>
      </c>
      <c r="T106" s="12" t="str">
        <f aca="false">IF(S106="","",R106-S106)</f>
        <v/>
      </c>
      <c r="U106" s="13" t="str">
        <f aca="false">IF(S106="","",IF(S106=0,"",T106/S106))</f>
        <v/>
      </c>
      <c r="V106" s="33" t="n">
        <v>141871</v>
      </c>
      <c r="X106" s="9" t="s">
        <v>311</v>
      </c>
      <c r="Y106" s="3" t="s">
        <v>312</v>
      </c>
    </row>
    <row r="107" customFormat="false" ht="15" hidden="false" customHeight="false" outlineLevel="0" collapsed="false">
      <c r="A107" s="9" t="s">
        <v>333</v>
      </c>
      <c r="B107" s="9" t="s">
        <v>291</v>
      </c>
      <c r="C107" s="9" t="s">
        <v>221</v>
      </c>
      <c r="D107" s="33" t="n">
        <v>8268</v>
      </c>
      <c r="E107" s="33" t="n">
        <v>19659</v>
      </c>
      <c r="F107" s="33" t="n">
        <v>7904</v>
      </c>
      <c r="G107" s="33" t="n">
        <v>10104</v>
      </c>
      <c r="H107" s="33" t="n">
        <v>11322</v>
      </c>
      <c r="I107" s="33" t="n">
        <v>12104</v>
      </c>
      <c r="J107" s="33" t="n">
        <v>8567</v>
      </c>
      <c r="K107" s="33" t="n">
        <v>8733</v>
      </c>
      <c r="L107" s="33" t="n">
        <v>7697</v>
      </c>
      <c r="M107" s="12" t="n">
        <f aca="false">SUM(D107:L107)</f>
        <v>94358</v>
      </c>
      <c r="N107" s="11" t="n">
        <f aca="false">AVERAGE($J107:$L107)</f>
        <v>8332.33333333333</v>
      </c>
      <c r="O107" s="11" t="n">
        <f aca="false">AVERAGE($J107:$L107)</f>
        <v>8332.33333333333</v>
      </c>
      <c r="P107" s="11" t="n">
        <f aca="false">AVERAGE($J107:$L107)+Supuestos!$C$10*$P97</f>
        <v>11472.7086622807</v>
      </c>
      <c r="Q107" s="37" t="n">
        <f aca="false">SUM(N107:P107)</f>
        <v>28137.3753289474</v>
      </c>
      <c r="R107" s="21" t="n">
        <f aca="false">M107+Q107</f>
        <v>122495.375328947</v>
      </c>
      <c r="T107" s="12" t="str">
        <f aca="false">IF(S107="","",R107-S107)</f>
        <v/>
      </c>
      <c r="U107" s="13" t="str">
        <f aca="false">IF(S107="","",IF(S107=0,"",T107/S107))</f>
        <v/>
      </c>
      <c r="V107" s="33" t="n">
        <v>133412</v>
      </c>
      <c r="X107" s="9" t="s">
        <v>316</v>
      </c>
      <c r="Y107" s="3" t="s">
        <v>317</v>
      </c>
    </row>
    <row r="108" customFormat="false" ht="15" hidden="false" customHeight="false" outlineLevel="0" collapsed="false">
      <c r="A108" s="3" t="s">
        <v>274</v>
      </c>
      <c r="V108" s="33" t="n">
        <v>34839</v>
      </c>
      <c r="X108" s="3" t="s">
        <v>275</v>
      </c>
      <c r="Y108" s="3" t="s">
        <v>276</v>
      </c>
    </row>
    <row r="109" customFormat="false" ht="15" hidden="false" customHeight="false" outlineLevel="0" collapsed="false">
      <c r="A109" s="40" t="s">
        <v>334</v>
      </c>
      <c r="B109" s="41"/>
      <c r="C109" s="41"/>
      <c r="D109" s="42" t="n">
        <f aca="false">SUM(D92:D108)</f>
        <v>278474</v>
      </c>
      <c r="E109" s="42" t="n">
        <f aca="false">SUM(E92:E108)</f>
        <v>360218</v>
      </c>
      <c r="F109" s="42" t="n">
        <f aca="false">SUM(F92:F108)</f>
        <v>281637</v>
      </c>
      <c r="G109" s="42" t="n">
        <f aca="false">SUM(G92:G108)</f>
        <v>362460</v>
      </c>
      <c r="H109" s="42" t="n">
        <f aca="false">SUM(H92:H108)</f>
        <v>328733</v>
      </c>
      <c r="I109" s="42" t="n">
        <f aca="false">SUM(I92:I108)</f>
        <v>340560</v>
      </c>
      <c r="J109" s="42" t="n">
        <f aca="false">SUM(J92:J108)</f>
        <v>274211</v>
      </c>
      <c r="K109" s="42" t="n">
        <f aca="false">SUM(K92:K108)</f>
        <v>348382</v>
      </c>
      <c r="L109" s="42" t="n">
        <f aca="false">SUM(L92:L108)</f>
        <v>264560</v>
      </c>
      <c r="M109" s="42" t="n">
        <f aca="false">SUM(M92:M108)</f>
        <v>2839235</v>
      </c>
      <c r="N109" s="42" t="n">
        <f aca="false">SUM(N92:N108)</f>
        <v>330496.166666667</v>
      </c>
      <c r="O109" s="42" t="n">
        <f aca="false">SUM(O92:O108)</f>
        <v>261283.166666667</v>
      </c>
      <c r="P109" s="42" t="n">
        <f aca="false">SUM(P92:P108)</f>
        <v>438315.719627193</v>
      </c>
      <c r="Q109" s="42" t="n">
        <f aca="false">SUM(Q92:Q108)</f>
        <v>1030095.05296053</v>
      </c>
      <c r="R109" s="42" t="n">
        <f aca="false">SUM(R92:R108)</f>
        <v>3869330.05296053</v>
      </c>
      <c r="S109" s="42" t="n">
        <f aca="false">IF(COUNTIF('Presupuesto 2026'!$B:$B,$A109)=0,"",SUMIF('Presupuesto 2026'!$B:$B,$A109,'Presupuesto 2026'!$D:$D))</f>
        <v>4813074.62</v>
      </c>
      <c r="T109" s="42" t="n">
        <f aca="false">IF(S109="","",R109-S109)</f>
        <v>-943744.567039474</v>
      </c>
      <c r="U109" s="43" t="n">
        <f aca="false">IF(S109="","",IF(S109=0,"",T109/S109))</f>
        <v>-0.196079354996469</v>
      </c>
      <c r="V109" s="42" t="n">
        <f aca="false">SUM(V92:V108)</f>
        <v>4319266</v>
      </c>
      <c r="W109" s="41"/>
      <c r="X109" s="41"/>
      <c r="Y109" s="41"/>
    </row>
    <row r="111" customFormat="false" ht="15" hidden="false" customHeight="false" outlineLevel="0" collapsed="false">
      <c r="A111" s="6" t="s">
        <v>335</v>
      </c>
      <c r="B111" s="7" t="s">
        <v>336</v>
      </c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</row>
    <row r="112" customFormat="false" ht="15" hidden="false" customHeight="false" outlineLevel="0" collapsed="false">
      <c r="A112" s="9" t="s">
        <v>290</v>
      </c>
      <c r="B112" s="9" t="s">
        <v>291</v>
      </c>
      <c r="C112" s="9" t="s">
        <v>221</v>
      </c>
      <c r="D112" s="33" t="n">
        <v>116215</v>
      </c>
      <c r="E112" s="33" t="n">
        <v>116177</v>
      </c>
      <c r="F112" s="33" t="n">
        <v>132331</v>
      </c>
      <c r="G112" s="33" t="n">
        <v>74593</v>
      </c>
      <c r="H112" s="33" t="n">
        <v>123188</v>
      </c>
      <c r="I112" s="33" t="n">
        <v>0</v>
      </c>
      <c r="J112" s="33" t="n">
        <v>0</v>
      </c>
      <c r="K112" s="33" t="n">
        <v>0</v>
      </c>
      <c r="L112" s="33" t="n">
        <v>0</v>
      </c>
      <c r="M112" s="12" t="n">
        <f aca="false">SUM(D112:L112)</f>
        <v>562504</v>
      </c>
      <c r="N112" s="37" t="n">
        <f aca="false">0</f>
        <v>0</v>
      </c>
      <c r="O112" s="37" t="n">
        <f aca="false">0</f>
        <v>0</v>
      </c>
      <c r="P112" s="37" t="n">
        <f aca="false">0</f>
        <v>0</v>
      </c>
      <c r="Q112" s="37" t="n">
        <f aca="false">SUM(N112:P112)</f>
        <v>0</v>
      </c>
      <c r="R112" s="21" t="n">
        <f aca="false">M112+Q112</f>
        <v>562504</v>
      </c>
      <c r="T112" s="12" t="str">
        <f aca="false">IF(S112="","",R112-S112)</f>
        <v/>
      </c>
      <c r="U112" s="13" t="str">
        <f aca="false">IF(S112="","",IF(S112=0,"",T112/S112))</f>
        <v/>
      </c>
      <c r="V112" s="33" t="n">
        <v>1278365</v>
      </c>
      <c r="X112" s="9" t="s">
        <v>337</v>
      </c>
      <c r="Y112" s="3" t="s">
        <v>338</v>
      </c>
    </row>
    <row r="113" customFormat="false" ht="15" hidden="false" customHeight="false" outlineLevel="0" collapsed="false">
      <c r="A113" s="9" t="s">
        <v>294</v>
      </c>
      <c r="B113" s="9" t="s">
        <v>291</v>
      </c>
      <c r="C113" s="9" t="s">
        <v>221</v>
      </c>
      <c r="D113" s="33" t="n">
        <v>0</v>
      </c>
      <c r="E113" s="33" t="n">
        <v>0</v>
      </c>
      <c r="F113" s="33" t="n">
        <v>0</v>
      </c>
      <c r="G113" s="33" t="n">
        <v>48595</v>
      </c>
      <c r="H113" s="33" t="n">
        <v>0</v>
      </c>
      <c r="I113" s="33" t="n">
        <v>21301</v>
      </c>
      <c r="J113" s="33" t="n">
        <v>0</v>
      </c>
      <c r="K113" s="33" t="n">
        <v>0</v>
      </c>
      <c r="L113" s="33" t="n">
        <v>0</v>
      </c>
      <c r="M113" s="12" t="n">
        <f aca="false">SUM(D113:L113)</f>
        <v>69896</v>
      </c>
      <c r="N113" s="37" t="n">
        <f aca="false">0</f>
        <v>0</v>
      </c>
      <c r="O113" s="37" t="n">
        <f aca="false">0</f>
        <v>0</v>
      </c>
      <c r="P113" s="37" t="n">
        <f aca="false">0</f>
        <v>0</v>
      </c>
      <c r="Q113" s="37" t="n">
        <f aca="false">SUM(N113:P113)</f>
        <v>0</v>
      </c>
      <c r="R113" s="21" t="n">
        <f aca="false">M113+Q113</f>
        <v>69896</v>
      </c>
      <c r="T113" s="12" t="str">
        <f aca="false">IF(S113="","",R113-S113)</f>
        <v/>
      </c>
      <c r="U113" s="13" t="str">
        <f aca="false">IF(S113="","",IF(S113=0,"",T113/S113))</f>
        <v/>
      </c>
      <c r="X113" s="9" t="s">
        <v>337</v>
      </c>
      <c r="Y113" s="3" t="s">
        <v>338</v>
      </c>
    </row>
    <row r="114" customFormat="false" ht="15" hidden="false" customHeight="false" outlineLevel="0" collapsed="false">
      <c r="A114" s="9" t="s">
        <v>295</v>
      </c>
      <c r="B114" s="9" t="s">
        <v>291</v>
      </c>
      <c r="C114" s="9" t="s">
        <v>221</v>
      </c>
      <c r="D114" s="33" t="n">
        <v>0</v>
      </c>
      <c r="E114" s="33" t="n">
        <v>0</v>
      </c>
      <c r="F114" s="33" t="n">
        <v>0</v>
      </c>
      <c r="G114" s="33" t="n">
        <v>0</v>
      </c>
      <c r="H114" s="33" t="n">
        <v>0</v>
      </c>
      <c r="I114" s="33" t="n">
        <v>5325</v>
      </c>
      <c r="J114" s="33" t="n">
        <v>0</v>
      </c>
      <c r="K114" s="33" t="n">
        <v>0</v>
      </c>
      <c r="L114" s="33" t="n">
        <v>12149</v>
      </c>
      <c r="M114" s="12" t="n">
        <f aca="false">SUM(D114:L114)</f>
        <v>17474</v>
      </c>
      <c r="N114" s="37" t="n">
        <f aca="false">0</f>
        <v>0</v>
      </c>
      <c r="O114" s="37" t="n">
        <f aca="false">0</f>
        <v>0</v>
      </c>
      <c r="P114" s="37" t="n">
        <f aca="false">0</f>
        <v>0</v>
      </c>
      <c r="Q114" s="37" t="n">
        <f aca="false">SUM(N114:P114)</f>
        <v>0</v>
      </c>
      <c r="R114" s="21" t="n">
        <f aca="false">M114+Q114</f>
        <v>17474</v>
      </c>
      <c r="T114" s="12" t="str">
        <f aca="false">IF(S114="","",R114-S114)</f>
        <v/>
      </c>
      <c r="U114" s="13" t="str">
        <f aca="false">IF(S114="","",IF(S114=0,"",T114/S114))</f>
        <v/>
      </c>
      <c r="X114" s="9" t="s">
        <v>337</v>
      </c>
      <c r="Y114" s="3" t="s">
        <v>338</v>
      </c>
    </row>
    <row r="115" customFormat="false" ht="15" hidden="false" customHeight="false" outlineLevel="0" collapsed="false">
      <c r="A115" s="9" t="s">
        <v>325</v>
      </c>
      <c r="B115" s="9" t="s">
        <v>291</v>
      </c>
      <c r="C115" s="9" t="s">
        <v>221</v>
      </c>
      <c r="D115" s="33" t="n">
        <v>0</v>
      </c>
      <c r="E115" s="33" t="n">
        <v>0</v>
      </c>
      <c r="F115" s="33" t="n">
        <v>0</v>
      </c>
      <c r="G115" s="33" t="n">
        <v>12149</v>
      </c>
      <c r="H115" s="33" t="n">
        <v>0</v>
      </c>
      <c r="I115" s="33" t="n">
        <v>0</v>
      </c>
      <c r="J115" s="33" t="n">
        <v>0</v>
      </c>
      <c r="K115" s="33" t="n">
        <v>0</v>
      </c>
      <c r="L115" s="33" t="n">
        <v>-12149</v>
      </c>
      <c r="M115" s="12" t="n">
        <f aca="false">SUM(D115:L115)</f>
        <v>0</v>
      </c>
      <c r="N115" s="37" t="n">
        <f aca="false">0</f>
        <v>0</v>
      </c>
      <c r="O115" s="37" t="n">
        <f aca="false">0</f>
        <v>0</v>
      </c>
      <c r="P115" s="37" t="n">
        <f aca="false">0</f>
        <v>0</v>
      </c>
      <c r="Q115" s="37" t="n">
        <f aca="false">SUM(N115:P115)</f>
        <v>0</v>
      </c>
      <c r="R115" s="21" t="n">
        <f aca="false">M115+Q115</f>
        <v>0</v>
      </c>
      <c r="T115" s="12" t="str">
        <f aca="false">IF(S115="","",R115-S115)</f>
        <v/>
      </c>
      <c r="U115" s="13" t="str">
        <f aca="false">IF(S115="","",IF(S115=0,"",T115/S115))</f>
        <v/>
      </c>
      <c r="X115" s="9" t="s">
        <v>337</v>
      </c>
      <c r="Y115" s="3" t="s">
        <v>338</v>
      </c>
    </row>
    <row r="116" customFormat="false" ht="15" hidden="false" customHeight="false" outlineLevel="0" collapsed="false">
      <c r="A116" s="9" t="s">
        <v>296</v>
      </c>
      <c r="B116" s="9" t="s">
        <v>291</v>
      </c>
      <c r="C116" s="9" t="s">
        <v>221</v>
      </c>
      <c r="D116" s="33" t="n">
        <v>7641</v>
      </c>
      <c r="E116" s="33" t="n">
        <v>7641</v>
      </c>
      <c r="F116" s="33" t="n">
        <v>8099</v>
      </c>
      <c r="G116" s="33" t="n">
        <v>0</v>
      </c>
      <c r="H116" s="33" t="n">
        <v>0</v>
      </c>
      <c r="I116" s="33" t="n">
        <v>0</v>
      </c>
      <c r="J116" s="33" t="n">
        <v>0</v>
      </c>
      <c r="K116" s="33" t="n">
        <v>0</v>
      </c>
      <c r="L116" s="33" t="n">
        <v>0</v>
      </c>
      <c r="M116" s="12" t="n">
        <f aca="false">SUM(D116:L116)</f>
        <v>23381</v>
      </c>
      <c r="N116" s="37" t="n">
        <f aca="false">0</f>
        <v>0</v>
      </c>
      <c r="O116" s="37" t="n">
        <f aca="false">0</f>
        <v>0</v>
      </c>
      <c r="P116" s="37" t="n">
        <f aca="false">0</f>
        <v>0</v>
      </c>
      <c r="Q116" s="37" t="n">
        <f aca="false">SUM(N116:P116)</f>
        <v>0</v>
      </c>
      <c r="R116" s="21" t="n">
        <f aca="false">M116+Q116</f>
        <v>23381</v>
      </c>
      <c r="T116" s="12" t="str">
        <f aca="false">IF(S116="","",R116-S116)</f>
        <v/>
      </c>
      <c r="U116" s="13" t="str">
        <f aca="false">IF(S116="","",IF(S116=0,"",T116/S116))</f>
        <v/>
      </c>
      <c r="X116" s="9" t="s">
        <v>337</v>
      </c>
      <c r="Y116" s="3" t="s">
        <v>338</v>
      </c>
    </row>
    <row r="117" customFormat="false" ht="15" hidden="false" customHeight="false" outlineLevel="0" collapsed="false">
      <c r="A117" s="9" t="s">
        <v>300</v>
      </c>
      <c r="B117" s="9" t="s">
        <v>291</v>
      </c>
      <c r="C117" s="9" t="s">
        <v>221</v>
      </c>
      <c r="D117" s="33" t="n">
        <v>0</v>
      </c>
      <c r="E117" s="33" t="n">
        <v>0</v>
      </c>
      <c r="F117" s="33" t="n">
        <v>0</v>
      </c>
      <c r="G117" s="33" t="n">
        <v>0</v>
      </c>
      <c r="H117" s="33" t="n">
        <v>0</v>
      </c>
      <c r="I117" s="33" t="n">
        <v>50255</v>
      </c>
      <c r="J117" s="33" t="n">
        <v>0</v>
      </c>
      <c r="K117" s="33" t="n">
        <v>0</v>
      </c>
      <c r="L117" s="33" t="n">
        <v>0</v>
      </c>
      <c r="M117" s="12" t="n">
        <f aca="false">SUM(D117:L117)</f>
        <v>50255</v>
      </c>
      <c r="N117" s="37" t="n">
        <f aca="false">0</f>
        <v>0</v>
      </c>
      <c r="O117" s="37" t="n">
        <f aca="false">0</f>
        <v>0</v>
      </c>
      <c r="P117" s="37" t="n">
        <f aca="false">0</f>
        <v>0</v>
      </c>
      <c r="Q117" s="37" t="n">
        <f aca="false">SUM(N117:P117)</f>
        <v>0</v>
      </c>
      <c r="R117" s="21" t="n">
        <f aca="false">M117+Q117</f>
        <v>50255</v>
      </c>
      <c r="T117" s="12" t="str">
        <f aca="false">IF(S117="","",R117-S117)</f>
        <v/>
      </c>
      <c r="U117" s="13" t="str">
        <f aca="false">IF(S117="","",IF(S117=0,"",T117/S117))</f>
        <v/>
      </c>
      <c r="V117" s="33" t="n">
        <v>114611</v>
      </c>
      <c r="X117" s="9" t="s">
        <v>337</v>
      </c>
      <c r="Y117" s="3" t="s">
        <v>338</v>
      </c>
    </row>
    <row r="118" customFormat="false" ht="15" hidden="false" customHeight="false" outlineLevel="0" collapsed="false">
      <c r="A118" s="9" t="s">
        <v>321</v>
      </c>
      <c r="B118" s="9" t="s">
        <v>291</v>
      </c>
      <c r="C118" s="9" t="s">
        <v>221</v>
      </c>
      <c r="D118" s="33" t="n">
        <v>0</v>
      </c>
      <c r="E118" s="33" t="n">
        <v>0</v>
      </c>
      <c r="F118" s="33" t="n">
        <v>0</v>
      </c>
      <c r="G118" s="33" t="n">
        <v>0</v>
      </c>
      <c r="H118" s="33" t="n">
        <v>1902</v>
      </c>
      <c r="I118" s="33" t="n">
        <v>0</v>
      </c>
      <c r="J118" s="33" t="n">
        <v>0</v>
      </c>
      <c r="K118" s="33" t="n">
        <v>0</v>
      </c>
      <c r="L118" s="33" t="n">
        <v>0</v>
      </c>
      <c r="M118" s="12" t="n">
        <f aca="false">SUM(D118:L118)</f>
        <v>1902</v>
      </c>
      <c r="N118" s="37" t="n">
        <f aca="false">0</f>
        <v>0</v>
      </c>
      <c r="O118" s="37" t="n">
        <f aca="false">0</f>
        <v>0</v>
      </c>
      <c r="P118" s="37" t="n">
        <f aca="false">0</f>
        <v>0</v>
      </c>
      <c r="Q118" s="37" t="n">
        <f aca="false">SUM(N118:P118)</f>
        <v>0</v>
      </c>
      <c r="R118" s="21" t="n">
        <f aca="false">M118+Q118</f>
        <v>1902</v>
      </c>
      <c r="T118" s="12" t="str">
        <f aca="false">IF(S118="","",R118-S118)</f>
        <v/>
      </c>
      <c r="U118" s="13" t="str">
        <f aca="false">IF(S118="","",IF(S118=0,"",T118/S118))</f>
        <v/>
      </c>
      <c r="X118" s="9" t="s">
        <v>337</v>
      </c>
      <c r="Y118" s="3" t="s">
        <v>338</v>
      </c>
    </row>
    <row r="119" customFormat="false" ht="15" hidden="false" customHeight="false" outlineLevel="0" collapsed="false">
      <c r="A119" s="9" t="s">
        <v>306</v>
      </c>
      <c r="B119" s="9" t="s">
        <v>291</v>
      </c>
      <c r="C119" s="9" t="s">
        <v>221</v>
      </c>
      <c r="D119" s="33" t="n">
        <v>3805</v>
      </c>
      <c r="E119" s="33" t="n">
        <v>3804</v>
      </c>
      <c r="F119" s="33" t="n">
        <v>3805</v>
      </c>
      <c r="G119" s="33" t="n">
        <v>3805</v>
      </c>
      <c r="H119" s="33" t="n">
        <v>1902</v>
      </c>
      <c r="I119" s="33" t="n">
        <v>0</v>
      </c>
      <c r="J119" s="33" t="n">
        <v>0</v>
      </c>
      <c r="K119" s="33" t="n">
        <v>0</v>
      </c>
      <c r="L119" s="33" t="n">
        <v>0</v>
      </c>
      <c r="M119" s="12" t="n">
        <f aca="false">SUM(D119:L119)</f>
        <v>17121</v>
      </c>
      <c r="N119" s="37" t="n">
        <f aca="false">0</f>
        <v>0</v>
      </c>
      <c r="O119" s="37" t="n">
        <f aca="false">0</f>
        <v>0</v>
      </c>
      <c r="P119" s="37" t="n">
        <f aca="false">0</f>
        <v>0</v>
      </c>
      <c r="Q119" s="37" t="n">
        <f aca="false">SUM(N119:P119)</f>
        <v>0</v>
      </c>
      <c r="R119" s="21" t="n">
        <f aca="false">M119+Q119</f>
        <v>17121</v>
      </c>
      <c r="T119" s="12" t="str">
        <f aca="false">IF(S119="","",R119-S119)</f>
        <v/>
      </c>
      <c r="U119" s="13" t="str">
        <f aca="false">IF(S119="","",IF(S119=0,"",T119/S119))</f>
        <v/>
      </c>
      <c r="V119" s="33" t="n">
        <v>41855</v>
      </c>
      <c r="X119" s="9" t="s">
        <v>337</v>
      </c>
      <c r="Y119" s="3" t="s">
        <v>338</v>
      </c>
    </row>
    <row r="120" customFormat="false" ht="15" hidden="false" customHeight="false" outlineLevel="0" collapsed="false">
      <c r="A120" s="9" t="s">
        <v>307</v>
      </c>
      <c r="B120" s="9" t="s">
        <v>291</v>
      </c>
      <c r="C120" s="9" t="s">
        <v>221</v>
      </c>
      <c r="D120" s="33" t="n">
        <v>3752</v>
      </c>
      <c r="E120" s="33" t="n">
        <v>3752</v>
      </c>
      <c r="F120" s="33" t="n">
        <v>4376</v>
      </c>
      <c r="G120" s="33" t="n">
        <v>5000</v>
      </c>
      <c r="H120" s="33" t="n">
        <v>5000</v>
      </c>
      <c r="I120" s="33" t="n">
        <v>0</v>
      </c>
      <c r="J120" s="33" t="n">
        <v>0</v>
      </c>
      <c r="K120" s="33" t="n">
        <v>0</v>
      </c>
      <c r="L120" s="33" t="n">
        <v>0</v>
      </c>
      <c r="M120" s="12" t="n">
        <f aca="false">SUM(D120:L120)</f>
        <v>21880</v>
      </c>
      <c r="N120" s="37" t="n">
        <f aca="false">0</f>
        <v>0</v>
      </c>
      <c r="O120" s="37" t="n">
        <f aca="false">0</f>
        <v>0</v>
      </c>
      <c r="P120" s="37" t="n">
        <f aca="false">0</f>
        <v>0</v>
      </c>
      <c r="Q120" s="37" t="n">
        <f aca="false">SUM(N120:P120)</f>
        <v>0</v>
      </c>
      <c r="R120" s="21" t="n">
        <f aca="false">M120+Q120</f>
        <v>21880</v>
      </c>
      <c r="T120" s="12" t="str">
        <f aca="false">IF(S120="","",R120-S120)</f>
        <v/>
      </c>
      <c r="U120" s="13" t="str">
        <f aca="false">IF(S120="","",IF(S120=0,"",T120/S120))</f>
        <v/>
      </c>
      <c r="V120" s="33" t="n">
        <v>41872</v>
      </c>
      <c r="X120" s="9" t="s">
        <v>337</v>
      </c>
      <c r="Y120" s="3" t="s">
        <v>338</v>
      </c>
    </row>
    <row r="121" customFormat="false" ht="15" hidden="false" customHeight="false" outlineLevel="0" collapsed="false">
      <c r="A121" s="9" t="s">
        <v>308</v>
      </c>
      <c r="B121" s="9" t="s">
        <v>291</v>
      </c>
      <c r="C121" s="9" t="s">
        <v>221</v>
      </c>
      <c r="D121" s="33" t="n">
        <v>0</v>
      </c>
      <c r="E121" s="33" t="n">
        <v>0</v>
      </c>
      <c r="F121" s="33" t="n">
        <v>0</v>
      </c>
      <c r="G121" s="33" t="n">
        <v>0</v>
      </c>
      <c r="H121" s="33" t="n">
        <v>80991</v>
      </c>
      <c r="I121" s="33" t="n">
        <v>0</v>
      </c>
      <c r="J121" s="33" t="n">
        <v>0</v>
      </c>
      <c r="K121" s="33" t="n">
        <v>0</v>
      </c>
      <c r="L121" s="33" t="n">
        <v>0</v>
      </c>
      <c r="M121" s="12" t="n">
        <f aca="false">SUM(D121:L121)</f>
        <v>80991</v>
      </c>
      <c r="N121" s="37" t="n">
        <f aca="false">0</f>
        <v>0</v>
      </c>
      <c r="O121" s="37" t="n">
        <f aca="false">0</f>
        <v>0</v>
      </c>
      <c r="P121" s="37" t="n">
        <f aca="false">0</f>
        <v>0</v>
      </c>
      <c r="Q121" s="37" t="n">
        <f aca="false">SUM(N121:P121)</f>
        <v>0</v>
      </c>
      <c r="R121" s="21" t="n">
        <f aca="false">M121+Q121</f>
        <v>80991</v>
      </c>
      <c r="T121" s="12" t="str">
        <f aca="false">IF(S121="","",R121-S121)</f>
        <v/>
      </c>
      <c r="U121" s="13" t="str">
        <f aca="false">IF(S121="","",IF(S121=0,"",T121/S121))</f>
        <v/>
      </c>
      <c r="V121" s="33" t="n">
        <v>73274</v>
      </c>
      <c r="X121" s="9" t="s">
        <v>337</v>
      </c>
      <c r="Y121" s="3" t="s">
        <v>338</v>
      </c>
    </row>
    <row r="122" customFormat="false" ht="15" hidden="false" customHeight="false" outlineLevel="0" collapsed="false">
      <c r="A122" s="9" t="s">
        <v>309</v>
      </c>
      <c r="B122" s="9" t="s">
        <v>291</v>
      </c>
      <c r="C122" s="9" t="s">
        <v>221</v>
      </c>
      <c r="D122" s="33" t="n">
        <v>10760</v>
      </c>
      <c r="E122" s="33" t="n">
        <v>9737</v>
      </c>
      <c r="F122" s="33" t="n">
        <v>10079</v>
      </c>
      <c r="G122" s="33" t="n">
        <v>6074</v>
      </c>
      <c r="H122" s="33" t="n">
        <v>11522</v>
      </c>
      <c r="I122" s="33" t="n">
        <v>0</v>
      </c>
      <c r="J122" s="33" t="n">
        <v>0</v>
      </c>
      <c r="K122" s="33" t="n">
        <v>0</v>
      </c>
      <c r="L122" s="33" t="n">
        <v>0</v>
      </c>
      <c r="M122" s="12" t="n">
        <f aca="false">SUM(D122:L122)</f>
        <v>48172</v>
      </c>
      <c r="N122" s="37" t="n">
        <f aca="false">0</f>
        <v>0</v>
      </c>
      <c r="O122" s="37" t="n">
        <f aca="false">0</f>
        <v>0</v>
      </c>
      <c r="P122" s="37" t="n">
        <f aca="false">0</f>
        <v>0</v>
      </c>
      <c r="Q122" s="37" t="n">
        <f aca="false">SUM(N122:P122)</f>
        <v>0</v>
      </c>
      <c r="R122" s="21" t="n">
        <f aca="false">M122+Q122</f>
        <v>48172</v>
      </c>
      <c r="T122" s="12" t="str">
        <f aca="false">IF(S122="","",R122-S122)</f>
        <v/>
      </c>
      <c r="U122" s="13" t="str">
        <f aca="false">IF(S122="","",IF(S122=0,"",T122/S122))</f>
        <v/>
      </c>
      <c r="V122" s="33" t="n">
        <v>103730</v>
      </c>
      <c r="X122" s="9" t="s">
        <v>337</v>
      </c>
      <c r="Y122" s="3" t="s">
        <v>338</v>
      </c>
    </row>
    <row r="123" customFormat="false" ht="15" hidden="false" customHeight="false" outlineLevel="0" collapsed="false">
      <c r="A123" s="9" t="s">
        <v>310</v>
      </c>
      <c r="B123" s="9" t="s">
        <v>291</v>
      </c>
      <c r="C123" s="9" t="s">
        <v>221</v>
      </c>
      <c r="D123" s="33" t="n">
        <v>0</v>
      </c>
      <c r="E123" s="33" t="n">
        <v>21661</v>
      </c>
      <c r="F123" s="33" t="n">
        <v>0</v>
      </c>
      <c r="G123" s="33" t="n">
        <v>12706</v>
      </c>
      <c r="H123" s="33" t="n">
        <v>0</v>
      </c>
      <c r="I123" s="33" t="n">
        <v>0</v>
      </c>
      <c r="J123" s="33" t="n">
        <v>0</v>
      </c>
      <c r="K123" s="33" t="n">
        <v>0</v>
      </c>
      <c r="L123" s="33" t="n">
        <v>0</v>
      </c>
      <c r="M123" s="12" t="n">
        <f aca="false">SUM(D123:L123)</f>
        <v>34367</v>
      </c>
      <c r="N123" s="37" t="n">
        <f aca="false">0</f>
        <v>0</v>
      </c>
      <c r="O123" s="37" t="n">
        <f aca="false">0</f>
        <v>0</v>
      </c>
      <c r="P123" s="37" t="n">
        <f aca="false">0</f>
        <v>0</v>
      </c>
      <c r="Q123" s="37" t="n">
        <f aca="false">SUM(N123:P123)</f>
        <v>0</v>
      </c>
      <c r="R123" s="21" t="n">
        <f aca="false">M123+Q123</f>
        <v>34367</v>
      </c>
      <c r="T123" s="12" t="str">
        <f aca="false">IF(S123="","",R123-S123)</f>
        <v/>
      </c>
      <c r="U123" s="13" t="str">
        <f aca="false">IF(S123="","",IF(S123=0,"",T123/S123))</f>
        <v/>
      </c>
      <c r="V123" s="33" t="n">
        <v>108129</v>
      </c>
      <c r="X123" s="9" t="s">
        <v>337</v>
      </c>
      <c r="Y123" s="3" t="s">
        <v>338</v>
      </c>
    </row>
    <row r="124" customFormat="false" ht="15" hidden="false" customHeight="false" outlineLevel="0" collapsed="false">
      <c r="A124" s="9" t="s">
        <v>313</v>
      </c>
      <c r="B124" s="9" t="s">
        <v>291</v>
      </c>
      <c r="C124" s="9" t="s">
        <v>221</v>
      </c>
      <c r="D124" s="33" t="n">
        <v>0</v>
      </c>
      <c r="E124" s="33" t="n">
        <v>5340</v>
      </c>
      <c r="F124" s="33" t="n">
        <v>0</v>
      </c>
      <c r="G124" s="33" t="n">
        <v>3161</v>
      </c>
      <c r="H124" s="33" t="n">
        <v>0</v>
      </c>
      <c r="I124" s="33" t="n">
        <v>0</v>
      </c>
      <c r="J124" s="33" t="n">
        <v>0</v>
      </c>
      <c r="K124" s="33" t="n">
        <v>0</v>
      </c>
      <c r="L124" s="33" t="n">
        <v>0</v>
      </c>
      <c r="M124" s="12" t="n">
        <f aca="false">SUM(D124:L124)</f>
        <v>8501</v>
      </c>
      <c r="N124" s="37" t="n">
        <f aca="false">0</f>
        <v>0</v>
      </c>
      <c r="O124" s="37" t="n">
        <f aca="false">0</f>
        <v>0</v>
      </c>
      <c r="P124" s="37" t="n">
        <f aca="false">0</f>
        <v>0</v>
      </c>
      <c r="Q124" s="37" t="n">
        <f aca="false">SUM(N124:P124)</f>
        <v>0</v>
      </c>
      <c r="R124" s="21" t="n">
        <f aca="false">M124+Q124</f>
        <v>8501</v>
      </c>
      <c r="T124" s="12" t="str">
        <f aca="false">IF(S124="","",R124-S124)</f>
        <v/>
      </c>
      <c r="U124" s="13" t="str">
        <f aca="false">IF(S124="","",IF(S124=0,"",T124/S124))</f>
        <v/>
      </c>
      <c r="V124" s="33" t="n">
        <v>29968</v>
      </c>
      <c r="X124" s="9" t="s">
        <v>337</v>
      </c>
      <c r="Y124" s="3" t="s">
        <v>338</v>
      </c>
    </row>
    <row r="125" customFormat="false" ht="15" hidden="false" customHeight="false" outlineLevel="0" collapsed="false">
      <c r="A125" s="9" t="s">
        <v>314</v>
      </c>
      <c r="B125" s="9" t="s">
        <v>291</v>
      </c>
      <c r="C125" s="9" t="s">
        <v>221</v>
      </c>
      <c r="D125" s="33" t="n">
        <v>0</v>
      </c>
      <c r="E125" s="33" t="n">
        <v>13349</v>
      </c>
      <c r="F125" s="33" t="n">
        <v>0</v>
      </c>
      <c r="G125" s="33" t="n">
        <v>7902</v>
      </c>
      <c r="H125" s="33" t="n">
        <v>0</v>
      </c>
      <c r="I125" s="33" t="n">
        <v>0</v>
      </c>
      <c r="J125" s="33" t="n">
        <v>0</v>
      </c>
      <c r="K125" s="33" t="n">
        <v>0</v>
      </c>
      <c r="L125" s="33" t="n">
        <v>0</v>
      </c>
      <c r="M125" s="12" t="n">
        <f aca="false">SUM(D125:L125)</f>
        <v>21251</v>
      </c>
      <c r="N125" s="37" t="n">
        <f aca="false">0</f>
        <v>0</v>
      </c>
      <c r="O125" s="37" t="n">
        <f aca="false">0</f>
        <v>0</v>
      </c>
      <c r="P125" s="37" t="n">
        <f aca="false">0</f>
        <v>0</v>
      </c>
      <c r="Q125" s="37" t="n">
        <f aca="false">SUM(N125:P125)</f>
        <v>0</v>
      </c>
      <c r="R125" s="21" t="n">
        <f aca="false">M125+Q125</f>
        <v>21251</v>
      </c>
      <c r="T125" s="12" t="str">
        <f aca="false">IF(S125="","",R125-S125)</f>
        <v/>
      </c>
      <c r="U125" s="13" t="str">
        <f aca="false">IF(S125="","",IF(S125=0,"",T125/S125))</f>
        <v/>
      </c>
      <c r="V125" s="33" t="n">
        <v>74920</v>
      </c>
      <c r="X125" s="9" t="s">
        <v>337</v>
      </c>
      <c r="Y125" s="3" t="s">
        <v>338</v>
      </c>
    </row>
    <row r="126" customFormat="false" ht="15" hidden="false" customHeight="false" outlineLevel="0" collapsed="false">
      <c r="A126" s="9" t="s">
        <v>315</v>
      </c>
      <c r="B126" s="9" t="s">
        <v>291</v>
      </c>
      <c r="C126" s="9" t="s">
        <v>221</v>
      </c>
      <c r="D126" s="33" t="n">
        <v>5450</v>
      </c>
      <c r="E126" s="33" t="n">
        <v>12077</v>
      </c>
      <c r="F126" s="33" t="n">
        <v>5331</v>
      </c>
      <c r="G126" s="33" t="n">
        <v>3607</v>
      </c>
      <c r="H126" s="33" t="n">
        <v>8918</v>
      </c>
      <c r="I126" s="33" t="n">
        <v>0</v>
      </c>
      <c r="J126" s="33" t="n">
        <v>0</v>
      </c>
      <c r="K126" s="33" t="n">
        <v>0</v>
      </c>
      <c r="L126" s="33" t="n">
        <v>0</v>
      </c>
      <c r="M126" s="12" t="n">
        <f aca="false">SUM(D126:L126)</f>
        <v>35383</v>
      </c>
      <c r="N126" s="37" t="n">
        <f aca="false">0</f>
        <v>0</v>
      </c>
      <c r="O126" s="37" t="n">
        <f aca="false">0</f>
        <v>0</v>
      </c>
      <c r="P126" s="37" t="n">
        <f aca="false">0</f>
        <v>0</v>
      </c>
      <c r="Q126" s="37" t="n">
        <f aca="false">SUM(N126:P126)</f>
        <v>0</v>
      </c>
      <c r="R126" s="21" t="n">
        <f aca="false">M126+Q126</f>
        <v>35383</v>
      </c>
      <c r="T126" s="12" t="str">
        <f aca="false">IF(S126="","",R126-S126)</f>
        <v/>
      </c>
      <c r="U126" s="13" t="str">
        <f aca="false">IF(S126="","",IF(S126=0,"",T126/S126))</f>
        <v/>
      </c>
      <c r="V126" s="33" t="n">
        <v>60451</v>
      </c>
      <c r="X126" s="9" t="s">
        <v>337</v>
      </c>
      <c r="Y126" s="3" t="s">
        <v>338</v>
      </c>
    </row>
    <row r="127" customFormat="false" ht="15" hidden="false" customHeight="false" outlineLevel="0" collapsed="false">
      <c r="A127" s="9" t="s">
        <v>339</v>
      </c>
      <c r="B127" s="9" t="s">
        <v>291</v>
      </c>
      <c r="C127" s="9" t="s">
        <v>221</v>
      </c>
      <c r="D127" s="33" t="n">
        <v>0</v>
      </c>
      <c r="E127" s="33" t="n">
        <v>0</v>
      </c>
      <c r="F127" s="33" t="n">
        <v>0</v>
      </c>
      <c r="G127" s="33" t="n">
        <v>0</v>
      </c>
      <c r="H127" s="33" t="n">
        <v>0</v>
      </c>
      <c r="I127" s="33" t="n">
        <v>317212</v>
      </c>
      <c r="J127" s="33" t="n">
        <v>0</v>
      </c>
      <c r="K127" s="33" t="n">
        <v>0</v>
      </c>
      <c r="L127" s="33" t="n">
        <v>0</v>
      </c>
      <c r="M127" s="12" t="n">
        <f aca="false">SUM(D127:L127)</f>
        <v>317212</v>
      </c>
      <c r="N127" s="37" t="n">
        <f aca="false">0</f>
        <v>0</v>
      </c>
      <c r="O127" s="37" t="n">
        <f aca="false">0</f>
        <v>0</v>
      </c>
      <c r="P127" s="37" t="n">
        <f aca="false">0</f>
        <v>0</v>
      </c>
      <c r="Q127" s="37" t="n">
        <f aca="false">SUM(N127:P127)</f>
        <v>0</v>
      </c>
      <c r="R127" s="21" t="n">
        <f aca="false">M127+Q127</f>
        <v>317212</v>
      </c>
      <c r="T127" s="12" t="str">
        <f aca="false">IF(S127="","",R127-S127)</f>
        <v/>
      </c>
      <c r="U127" s="13" t="str">
        <f aca="false">IF(S127="","",IF(S127=0,"",T127/S127))</f>
        <v/>
      </c>
      <c r="X127" s="9" t="s">
        <v>337</v>
      </c>
      <c r="Y127" s="3" t="s">
        <v>338</v>
      </c>
    </row>
    <row r="128" customFormat="false" ht="15" hidden="false" customHeight="false" outlineLevel="0" collapsed="false">
      <c r="A128" s="9" t="s">
        <v>340</v>
      </c>
      <c r="B128" s="9" t="s">
        <v>291</v>
      </c>
      <c r="C128" s="9" t="s">
        <v>221</v>
      </c>
      <c r="D128" s="33" t="n">
        <v>0</v>
      </c>
      <c r="E128" s="33" t="n">
        <v>0</v>
      </c>
      <c r="F128" s="33" t="n">
        <v>0</v>
      </c>
      <c r="G128" s="33" t="n">
        <v>0</v>
      </c>
      <c r="H128" s="33" t="n">
        <v>0</v>
      </c>
      <c r="I128" s="33" t="n">
        <v>9980</v>
      </c>
      <c r="J128" s="33" t="n">
        <v>0</v>
      </c>
      <c r="K128" s="33" t="n">
        <v>0</v>
      </c>
      <c r="L128" s="33" t="n">
        <v>0</v>
      </c>
      <c r="M128" s="12" t="n">
        <f aca="false">SUM(D128:L128)</f>
        <v>9980</v>
      </c>
      <c r="N128" s="37" t="n">
        <f aca="false">0</f>
        <v>0</v>
      </c>
      <c r="O128" s="37" t="n">
        <f aca="false">0</f>
        <v>0</v>
      </c>
      <c r="P128" s="37" t="n">
        <f aca="false">0</f>
        <v>0</v>
      </c>
      <c r="Q128" s="37" t="n">
        <f aca="false">SUM(N128:P128)</f>
        <v>0</v>
      </c>
      <c r="R128" s="21" t="n">
        <f aca="false">M128+Q128</f>
        <v>9980</v>
      </c>
      <c r="T128" s="12" t="str">
        <f aca="false">IF(S128="","",R128-S128)</f>
        <v/>
      </c>
      <c r="U128" s="13" t="str">
        <f aca="false">IF(S128="","",IF(S128=0,"",T128/S128))</f>
        <v/>
      </c>
      <c r="X128" s="9" t="s">
        <v>337</v>
      </c>
      <c r="Y128" s="3" t="s">
        <v>338</v>
      </c>
    </row>
    <row r="129" customFormat="false" ht="15" hidden="false" customHeight="false" outlineLevel="0" collapsed="false">
      <c r="A129" s="3" t="s">
        <v>274</v>
      </c>
      <c r="V129" s="33" t="n">
        <v>239638</v>
      </c>
      <c r="X129" s="3" t="s">
        <v>275</v>
      </c>
      <c r="Y129" s="3" t="s">
        <v>276</v>
      </c>
    </row>
    <row r="130" customFormat="false" ht="15" hidden="false" customHeight="false" outlineLevel="0" collapsed="false">
      <c r="A130" s="40" t="s">
        <v>341</v>
      </c>
      <c r="B130" s="41"/>
      <c r="C130" s="41"/>
      <c r="D130" s="42" t="n">
        <f aca="false">SUM(D112:D129)</f>
        <v>147623</v>
      </c>
      <c r="E130" s="42" t="n">
        <f aca="false">SUM(E112:E129)</f>
        <v>193538</v>
      </c>
      <c r="F130" s="42" t="n">
        <f aca="false">SUM(F112:F129)</f>
        <v>164021</v>
      </c>
      <c r="G130" s="42" t="n">
        <f aca="false">SUM(G112:G129)</f>
        <v>177592</v>
      </c>
      <c r="H130" s="42" t="n">
        <f aca="false">SUM(H112:H129)</f>
        <v>233423</v>
      </c>
      <c r="I130" s="42" t="n">
        <f aca="false">SUM(I112:I129)</f>
        <v>404073</v>
      </c>
      <c r="J130" s="42" t="n">
        <f aca="false">SUM(J112:J129)</f>
        <v>0</v>
      </c>
      <c r="K130" s="42" t="n">
        <f aca="false">SUM(K112:K129)</f>
        <v>0</v>
      </c>
      <c r="L130" s="42" t="n">
        <f aca="false">SUM(L112:L129)</f>
        <v>0</v>
      </c>
      <c r="M130" s="42" t="n">
        <f aca="false">SUM(M112:M129)</f>
        <v>1320270</v>
      </c>
      <c r="N130" s="42" t="n">
        <f aca="false">SUM(N112:N129)</f>
        <v>0</v>
      </c>
      <c r="O130" s="42" t="n">
        <f aca="false">SUM(O112:O129)</f>
        <v>0</v>
      </c>
      <c r="P130" s="42" t="n">
        <f aca="false">SUM(P112:P129)</f>
        <v>0</v>
      </c>
      <c r="Q130" s="42" t="n">
        <f aca="false">SUM(Q112:Q129)</f>
        <v>0</v>
      </c>
      <c r="R130" s="42" t="n">
        <f aca="false">SUM(R112:R129)</f>
        <v>1320270</v>
      </c>
      <c r="S130" s="42" t="n">
        <f aca="false">IF(COUNTIF('Presupuesto 2026'!$B:$B,$A130)=0,"",SUMIF('Presupuesto 2026'!$B:$B,$A130,'Presupuesto 2026'!$D:$D))</f>
        <v>2255324.76</v>
      </c>
      <c r="T130" s="42" t="n">
        <f aca="false">IF(S130="","",R130-S130)</f>
        <v>-935054.76</v>
      </c>
      <c r="U130" s="43" t="n">
        <f aca="false">IF(S130="","",IF(S130=0,"",T130/S130))</f>
        <v>-0.414598720585145</v>
      </c>
      <c r="V130" s="42" t="n">
        <f aca="false">SUM(V112:V129)</f>
        <v>2166813</v>
      </c>
      <c r="W130" s="41"/>
      <c r="X130" s="44" t="s">
        <v>342</v>
      </c>
      <c r="Y130" s="45" t="s">
        <v>343</v>
      </c>
    </row>
    <row r="132" customFormat="false" ht="15" hidden="false" customHeight="false" outlineLevel="0" collapsed="false">
      <c r="A132" s="6" t="s">
        <v>344</v>
      </c>
      <c r="B132" s="7" t="s">
        <v>345</v>
      </c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</row>
    <row r="133" customFormat="false" ht="15" hidden="false" customHeight="false" outlineLevel="0" collapsed="false">
      <c r="A133" s="9" t="s">
        <v>290</v>
      </c>
      <c r="B133" s="9" t="s">
        <v>291</v>
      </c>
      <c r="C133" s="9" t="s">
        <v>221</v>
      </c>
      <c r="D133" s="33" t="n">
        <v>81483</v>
      </c>
      <c r="E133" s="33" t="n">
        <v>81456</v>
      </c>
      <c r="F133" s="33" t="n">
        <v>93762</v>
      </c>
      <c r="G133" s="33" t="n">
        <v>86372</v>
      </c>
      <c r="H133" s="33" t="n">
        <v>86372</v>
      </c>
      <c r="I133" s="33" t="n">
        <v>86372</v>
      </c>
      <c r="J133" s="33" t="n">
        <v>52300</v>
      </c>
      <c r="K133" s="33" t="n">
        <v>86372</v>
      </c>
      <c r="L133" s="33" t="n">
        <v>86372</v>
      </c>
      <c r="M133" s="12" t="n">
        <f aca="false">SUM(D133:L133)</f>
        <v>740861</v>
      </c>
      <c r="N133" s="37" t="n">
        <f aca="false">AVERAGE($J133:$L133)</f>
        <v>75014.6666666667</v>
      </c>
      <c r="O133" s="37" t="n">
        <f aca="false">AVERAGE($J133:$L133)</f>
        <v>75014.6666666667</v>
      </c>
      <c r="P133" s="37" t="n">
        <f aca="false">AVERAGE($J133:$L133)</f>
        <v>75014.6666666667</v>
      </c>
      <c r="Q133" s="37" t="n">
        <f aca="false">SUM(N133:P133)</f>
        <v>225044</v>
      </c>
      <c r="R133" s="21" t="n">
        <f aca="false">M133+Q133</f>
        <v>965905</v>
      </c>
      <c r="T133" s="12" t="str">
        <f aca="false">IF(S133="","",R133-S133)</f>
        <v/>
      </c>
      <c r="U133" s="13" t="str">
        <f aca="false">IF(S133="","",IF(S133=0,"",T133/S133))</f>
        <v/>
      </c>
      <c r="V133" s="33" t="n">
        <v>717022</v>
      </c>
      <c r="X133" s="9" t="s">
        <v>292</v>
      </c>
      <c r="Y133" s="3" t="s">
        <v>293</v>
      </c>
    </row>
    <row r="134" customFormat="false" ht="15" hidden="false" customHeight="false" outlineLevel="0" collapsed="false">
      <c r="A134" s="9" t="s">
        <v>294</v>
      </c>
      <c r="B134" s="9" t="s">
        <v>291</v>
      </c>
      <c r="C134" s="9" t="s">
        <v>221</v>
      </c>
      <c r="D134" s="33" t="n">
        <v>0</v>
      </c>
      <c r="E134" s="33" t="n">
        <v>0</v>
      </c>
      <c r="F134" s="33" t="n">
        <v>0</v>
      </c>
      <c r="G134" s="33" t="n">
        <v>0</v>
      </c>
      <c r="H134" s="33" t="n">
        <v>0</v>
      </c>
      <c r="I134" s="33" t="n">
        <v>0</v>
      </c>
      <c r="J134" s="33" t="n">
        <v>34072</v>
      </c>
      <c r="K134" s="33" t="n">
        <v>0</v>
      </c>
      <c r="L134" s="33" t="n">
        <v>0</v>
      </c>
      <c r="M134" s="12" t="n">
        <f aca="false">SUM(D134:L134)</f>
        <v>34072</v>
      </c>
      <c r="N134" s="37" t="n">
        <f aca="false">AVERAGE($G134:$L134)</f>
        <v>5678.66666666667</v>
      </c>
      <c r="O134" s="37" t="n">
        <f aca="false">AVERAGE($G134:$L134)</f>
        <v>5678.66666666667</v>
      </c>
      <c r="P134" s="37" t="n">
        <f aca="false">AVERAGE($G134:$L134)</f>
        <v>5678.66666666667</v>
      </c>
      <c r="Q134" s="37" t="n">
        <f aca="false">SUM(N134:P134)</f>
        <v>17036</v>
      </c>
      <c r="R134" s="21" t="n">
        <f aca="false">M134+Q134</f>
        <v>51108</v>
      </c>
      <c r="T134" s="12" t="str">
        <f aca="false">IF(S134="","",R134-S134)</f>
        <v/>
      </c>
      <c r="U134" s="13" t="str">
        <f aca="false">IF(S134="","",IF(S134=0,"",T134/S134))</f>
        <v/>
      </c>
      <c r="V134" s="33" t="n">
        <v>15766</v>
      </c>
      <c r="X134" s="9" t="s">
        <v>248</v>
      </c>
      <c r="Y134" s="3" t="s">
        <v>249</v>
      </c>
    </row>
    <row r="135" customFormat="false" ht="15" hidden="false" customHeight="false" outlineLevel="0" collapsed="false">
      <c r="A135" s="9" t="s">
        <v>295</v>
      </c>
      <c r="B135" s="9" t="s">
        <v>291</v>
      </c>
      <c r="C135" s="9" t="s">
        <v>221</v>
      </c>
      <c r="D135" s="33" t="n">
        <v>0</v>
      </c>
      <c r="E135" s="33" t="n">
        <v>0</v>
      </c>
      <c r="F135" s="33" t="n">
        <v>0</v>
      </c>
      <c r="G135" s="33" t="n">
        <v>0</v>
      </c>
      <c r="H135" s="33" t="n">
        <v>0</v>
      </c>
      <c r="I135" s="33" t="n">
        <v>0</v>
      </c>
      <c r="J135" s="33" t="n">
        <v>8518</v>
      </c>
      <c r="K135" s="33" t="n">
        <v>0</v>
      </c>
      <c r="L135" s="33" t="n">
        <v>0</v>
      </c>
      <c r="M135" s="12" t="n">
        <f aca="false">SUM(D135:L135)</f>
        <v>8518</v>
      </c>
      <c r="N135" s="37" t="n">
        <f aca="false">AVERAGE($G135:$L135)</f>
        <v>1419.66666666667</v>
      </c>
      <c r="O135" s="37" t="n">
        <f aca="false">AVERAGE($G135:$L135)</f>
        <v>1419.66666666667</v>
      </c>
      <c r="P135" s="37" t="n">
        <f aca="false">AVERAGE($G135:$L135)</f>
        <v>1419.66666666667</v>
      </c>
      <c r="Q135" s="37" t="n">
        <f aca="false">SUM(N135:P135)</f>
        <v>4259</v>
      </c>
      <c r="R135" s="21" t="n">
        <f aca="false">M135+Q135</f>
        <v>12777</v>
      </c>
      <c r="T135" s="12" t="str">
        <f aca="false">IF(S135="","",R135-S135)</f>
        <v/>
      </c>
      <c r="U135" s="13" t="str">
        <f aca="false">IF(S135="","",IF(S135=0,"",T135/S135))</f>
        <v/>
      </c>
      <c r="V135" s="33" t="n">
        <v>3942</v>
      </c>
      <c r="X135" s="9" t="s">
        <v>248</v>
      </c>
      <c r="Y135" s="3" t="s">
        <v>249</v>
      </c>
    </row>
    <row r="136" customFormat="false" ht="15" hidden="false" customHeight="false" outlineLevel="0" collapsed="false">
      <c r="A136" s="9" t="s">
        <v>296</v>
      </c>
      <c r="B136" s="9" t="s">
        <v>291</v>
      </c>
      <c r="C136" s="9" t="s">
        <v>221</v>
      </c>
      <c r="D136" s="33" t="n">
        <v>5357</v>
      </c>
      <c r="E136" s="33" t="n">
        <v>5357</v>
      </c>
      <c r="F136" s="33" t="n">
        <v>0</v>
      </c>
      <c r="G136" s="33" t="n">
        <v>5679</v>
      </c>
      <c r="H136" s="33" t="n">
        <v>0</v>
      </c>
      <c r="I136" s="33" t="n">
        <v>0</v>
      </c>
      <c r="J136" s="33" t="n">
        <v>0</v>
      </c>
      <c r="K136" s="33" t="n">
        <v>0</v>
      </c>
      <c r="L136" s="33" t="n">
        <v>0</v>
      </c>
      <c r="M136" s="12" t="n">
        <f aca="false">SUM(D136:L136)</f>
        <v>16393</v>
      </c>
      <c r="N136" s="37" t="n">
        <f aca="false">0</f>
        <v>0</v>
      </c>
      <c r="O136" s="37" t="n">
        <f aca="false">0</f>
        <v>0</v>
      </c>
      <c r="P136" s="37" t="n">
        <f aca="false">0</f>
        <v>0</v>
      </c>
      <c r="Q136" s="37" t="n">
        <f aca="false">SUM(N136:P136)</f>
        <v>0</v>
      </c>
      <c r="R136" s="21" t="n">
        <f aca="false">M136+Q136</f>
        <v>16393</v>
      </c>
      <c r="T136" s="12" t="str">
        <f aca="false">IF(S136="","",R136-S136)</f>
        <v/>
      </c>
      <c r="U136" s="13" t="str">
        <f aca="false">IF(S136="","",IF(S136=0,"",T136/S136))</f>
        <v/>
      </c>
      <c r="X136" s="9" t="s">
        <v>297</v>
      </c>
      <c r="Y136" s="3" t="s">
        <v>298</v>
      </c>
    </row>
    <row r="137" customFormat="false" ht="15" hidden="false" customHeight="false" outlineLevel="0" collapsed="false">
      <c r="A137" s="9" t="s">
        <v>306</v>
      </c>
      <c r="B137" s="9" t="s">
        <v>291</v>
      </c>
      <c r="C137" s="9" t="s">
        <v>221</v>
      </c>
      <c r="D137" s="33" t="n">
        <v>3805</v>
      </c>
      <c r="E137" s="33" t="n">
        <v>3804</v>
      </c>
      <c r="F137" s="33" t="n">
        <v>3805</v>
      </c>
      <c r="G137" s="33" t="n">
        <v>3805</v>
      </c>
      <c r="H137" s="33" t="n">
        <v>3805</v>
      </c>
      <c r="I137" s="33" t="n">
        <v>3805</v>
      </c>
      <c r="J137" s="33" t="n">
        <v>3805</v>
      </c>
      <c r="K137" s="33" t="n">
        <v>3805</v>
      </c>
      <c r="L137" s="33" t="n">
        <v>3805</v>
      </c>
      <c r="M137" s="12" t="n">
        <f aca="false">SUM(D137:L137)</f>
        <v>34244</v>
      </c>
      <c r="N137" s="37" t="n">
        <f aca="false">AVERAGE($J137:$L137)</f>
        <v>3805</v>
      </c>
      <c r="O137" s="37" t="n">
        <f aca="false">AVERAGE($J137:$L137)</f>
        <v>3805</v>
      </c>
      <c r="P137" s="37" t="n">
        <f aca="false">AVERAGE($J137:$L137)</f>
        <v>3805</v>
      </c>
      <c r="Q137" s="37" t="n">
        <f aca="false">SUM(N137:P137)</f>
        <v>11415</v>
      </c>
      <c r="R137" s="21" t="n">
        <f aca="false">M137+Q137</f>
        <v>45659</v>
      </c>
      <c r="T137" s="12" t="str">
        <f aca="false">IF(S137="","",R137-S137)</f>
        <v/>
      </c>
      <c r="U137" s="13" t="str">
        <f aca="false">IF(S137="","",IF(S137=0,"",T137/S137))</f>
        <v/>
      </c>
      <c r="V137" s="33" t="n">
        <v>34120</v>
      </c>
      <c r="X137" s="9" t="s">
        <v>304</v>
      </c>
      <c r="Y137" s="3" t="s">
        <v>305</v>
      </c>
    </row>
    <row r="138" customFormat="false" ht="15" hidden="false" customHeight="false" outlineLevel="0" collapsed="false">
      <c r="A138" s="9" t="s">
        <v>307</v>
      </c>
      <c r="B138" s="9" t="s">
        <v>291</v>
      </c>
      <c r="C138" s="9" t="s">
        <v>221</v>
      </c>
      <c r="D138" s="33" t="n">
        <v>3752</v>
      </c>
      <c r="E138" s="33" t="n">
        <v>3752</v>
      </c>
      <c r="F138" s="33" t="n">
        <v>4376</v>
      </c>
      <c r="G138" s="33" t="n">
        <v>5000</v>
      </c>
      <c r="H138" s="33" t="n">
        <v>5000</v>
      </c>
      <c r="I138" s="33" t="n">
        <v>5000</v>
      </c>
      <c r="J138" s="33" t="n">
        <v>5000</v>
      </c>
      <c r="K138" s="33" t="n">
        <v>5000</v>
      </c>
      <c r="L138" s="33" t="n">
        <v>5000</v>
      </c>
      <c r="M138" s="12" t="n">
        <f aca="false">SUM(D138:L138)</f>
        <v>41880</v>
      </c>
      <c r="N138" s="37" t="n">
        <f aca="false">AVERAGE($J138:$L138)</f>
        <v>5000</v>
      </c>
      <c r="O138" s="37" t="n">
        <f aca="false">AVERAGE($J138:$L138)</f>
        <v>5000</v>
      </c>
      <c r="P138" s="37" t="n">
        <f aca="false">AVERAGE($J138:$L138)</f>
        <v>5000</v>
      </c>
      <c r="Q138" s="37" t="n">
        <f aca="false">SUM(N138:P138)</f>
        <v>15000</v>
      </c>
      <c r="R138" s="21" t="n">
        <f aca="false">M138+Q138</f>
        <v>56880</v>
      </c>
      <c r="T138" s="12" t="str">
        <f aca="false">IF(S138="","",R138-S138)</f>
        <v/>
      </c>
      <c r="U138" s="13" t="str">
        <f aca="false">IF(S138="","",IF(S138=0,"",T138/S138))</f>
        <v/>
      </c>
      <c r="V138" s="33" t="n">
        <v>33543</v>
      </c>
      <c r="X138" s="9" t="s">
        <v>304</v>
      </c>
      <c r="Y138" s="3" t="s">
        <v>305</v>
      </c>
    </row>
    <row r="139" customFormat="false" ht="15" hidden="false" customHeight="false" outlineLevel="0" collapsed="false">
      <c r="A139" s="9" t="s">
        <v>308</v>
      </c>
      <c r="B139" s="9" t="s">
        <v>291</v>
      </c>
      <c r="C139" s="9" t="s">
        <v>221</v>
      </c>
      <c r="D139" s="33" t="n">
        <v>0</v>
      </c>
      <c r="E139" s="33" t="n">
        <v>0</v>
      </c>
      <c r="F139" s="33" t="n">
        <v>0</v>
      </c>
      <c r="G139" s="33" t="n">
        <v>0</v>
      </c>
      <c r="H139" s="33" t="n">
        <v>38104</v>
      </c>
      <c r="I139" s="33" t="n">
        <v>0</v>
      </c>
      <c r="J139" s="33" t="n">
        <v>0</v>
      </c>
      <c r="K139" s="33" t="n">
        <v>0</v>
      </c>
      <c r="L139" s="33" t="n">
        <v>0</v>
      </c>
      <c r="M139" s="12" t="n">
        <f aca="false">SUM(D139:L139)</f>
        <v>38104</v>
      </c>
      <c r="N139" s="37" t="n">
        <f aca="false">0</f>
        <v>0</v>
      </c>
      <c r="O139" s="37" t="n">
        <f aca="false">0</f>
        <v>0</v>
      </c>
      <c r="P139" s="37" t="n">
        <f aca="false">0</f>
        <v>0</v>
      </c>
      <c r="Q139" s="37" t="n">
        <f aca="false">SUM(N139:P139)</f>
        <v>0</v>
      </c>
      <c r="R139" s="21" t="n">
        <f aca="false">M139+Q139</f>
        <v>38104</v>
      </c>
      <c r="T139" s="12" t="str">
        <f aca="false">IF(S139="","",R139-S139)</f>
        <v/>
      </c>
      <c r="U139" s="13" t="str">
        <f aca="false">IF(S139="","",IF(S139=0,"",T139/S139))</f>
        <v/>
      </c>
      <c r="V139" s="33" t="n">
        <v>22412</v>
      </c>
      <c r="X139" s="9" t="s">
        <v>297</v>
      </c>
      <c r="Y139" s="3" t="s">
        <v>298</v>
      </c>
    </row>
    <row r="140" customFormat="false" ht="15" hidden="false" customHeight="false" outlineLevel="0" collapsed="false">
      <c r="A140" s="9" t="s">
        <v>309</v>
      </c>
      <c r="B140" s="9" t="s">
        <v>291</v>
      </c>
      <c r="C140" s="9" t="s">
        <v>221</v>
      </c>
      <c r="D140" s="33" t="n">
        <v>7544</v>
      </c>
      <c r="E140" s="33" t="n">
        <v>6827</v>
      </c>
      <c r="F140" s="33" t="n">
        <v>7078</v>
      </c>
      <c r="G140" s="33" t="n">
        <v>7034</v>
      </c>
      <c r="H140" s="33" t="n">
        <v>8079</v>
      </c>
      <c r="I140" s="33" t="n">
        <v>8216</v>
      </c>
      <c r="J140" s="33" t="n">
        <v>5382</v>
      </c>
      <c r="K140" s="33" t="n">
        <v>8307</v>
      </c>
      <c r="L140" s="33" t="n">
        <v>8748</v>
      </c>
      <c r="M140" s="12" t="n">
        <f aca="false">SUM(D140:L140)</f>
        <v>67215</v>
      </c>
      <c r="N140" s="37" t="n">
        <f aca="false">AVERAGE($J140:$L140)</f>
        <v>7479</v>
      </c>
      <c r="O140" s="37" t="n">
        <f aca="false">AVERAGE($J140:$L140)</f>
        <v>7479</v>
      </c>
      <c r="P140" s="37" t="n">
        <f aca="false">AVERAGE($J140:$L140)</f>
        <v>7479</v>
      </c>
      <c r="Q140" s="37" t="n">
        <f aca="false">SUM(N140:P140)</f>
        <v>22437</v>
      </c>
      <c r="R140" s="21" t="n">
        <f aca="false">M140+Q140</f>
        <v>89652</v>
      </c>
      <c r="T140" s="12" t="str">
        <f aca="false">IF(S140="","",R140-S140)</f>
        <v/>
      </c>
      <c r="U140" s="13" t="str">
        <f aca="false">IF(S140="","",IF(S140=0,"",T140/S140))</f>
        <v/>
      </c>
      <c r="V140" s="33" t="n">
        <v>46255</v>
      </c>
      <c r="X140" s="9" t="s">
        <v>304</v>
      </c>
      <c r="Y140" s="3" t="s">
        <v>305</v>
      </c>
    </row>
    <row r="141" customFormat="false" ht="15" hidden="false" customHeight="false" outlineLevel="0" collapsed="false">
      <c r="A141" s="9" t="s">
        <v>310</v>
      </c>
      <c r="B141" s="9" t="s">
        <v>291</v>
      </c>
      <c r="C141" s="9" t="s">
        <v>221</v>
      </c>
      <c r="D141" s="33" t="n">
        <v>0</v>
      </c>
      <c r="E141" s="33" t="n">
        <v>15187</v>
      </c>
      <c r="F141" s="33" t="n">
        <v>0</v>
      </c>
      <c r="G141" s="33" t="n">
        <v>14712</v>
      </c>
      <c r="H141" s="33" t="n">
        <v>0</v>
      </c>
      <c r="I141" s="33" t="n">
        <v>17575</v>
      </c>
      <c r="J141" s="33" t="n">
        <v>0</v>
      </c>
      <c r="K141" s="33" t="n">
        <v>17125</v>
      </c>
      <c r="L141" s="33" t="n">
        <v>0</v>
      </c>
      <c r="M141" s="12" t="n">
        <f aca="false">SUM(D141:L141)</f>
        <v>64599</v>
      </c>
      <c r="N141" s="37" t="n">
        <f aca="false">$K141</f>
        <v>17125</v>
      </c>
      <c r="O141" s="37" t="n">
        <f aca="false">0</f>
        <v>0</v>
      </c>
      <c r="P141" s="37" t="n">
        <f aca="false">$K141</f>
        <v>17125</v>
      </c>
      <c r="Q141" s="37" t="n">
        <f aca="false">SUM(N141:P141)</f>
        <v>34250</v>
      </c>
      <c r="R141" s="21" t="n">
        <f aca="false">M141+Q141</f>
        <v>98849</v>
      </c>
      <c r="T141" s="12" t="str">
        <f aca="false">IF(S141="","",R141-S141)</f>
        <v/>
      </c>
      <c r="U141" s="13" t="str">
        <f aca="false">IF(S141="","",IF(S141=0,"",T141/S141))</f>
        <v/>
      </c>
      <c r="V141" s="33" t="n">
        <v>40758</v>
      </c>
      <c r="X141" s="9" t="s">
        <v>311</v>
      </c>
      <c r="Y141" s="3" t="s">
        <v>312</v>
      </c>
    </row>
    <row r="142" customFormat="false" ht="15" hidden="false" customHeight="false" outlineLevel="0" collapsed="false">
      <c r="A142" s="9" t="s">
        <v>313</v>
      </c>
      <c r="B142" s="9" t="s">
        <v>291</v>
      </c>
      <c r="C142" s="9" t="s">
        <v>221</v>
      </c>
      <c r="D142" s="33" t="n">
        <v>0</v>
      </c>
      <c r="E142" s="33" t="n">
        <v>3744</v>
      </c>
      <c r="F142" s="33" t="n">
        <v>0</v>
      </c>
      <c r="G142" s="33" t="n">
        <v>3660</v>
      </c>
      <c r="H142" s="33" t="n">
        <v>0</v>
      </c>
      <c r="I142" s="33" t="n">
        <v>4277</v>
      </c>
      <c r="J142" s="33" t="n">
        <v>0</v>
      </c>
      <c r="K142" s="33" t="n">
        <v>4136</v>
      </c>
      <c r="L142" s="33" t="n">
        <v>0</v>
      </c>
      <c r="M142" s="12" t="n">
        <f aca="false">SUM(D142:L142)</f>
        <v>15817</v>
      </c>
      <c r="N142" s="37" t="n">
        <f aca="false">$K142</f>
        <v>4136</v>
      </c>
      <c r="O142" s="37" t="n">
        <f aca="false">0</f>
        <v>0</v>
      </c>
      <c r="P142" s="37" t="n">
        <f aca="false">$K142</f>
        <v>4136</v>
      </c>
      <c r="Q142" s="37" t="n">
        <f aca="false">SUM(N142:P142)</f>
        <v>8272</v>
      </c>
      <c r="R142" s="21" t="n">
        <f aca="false">M142+Q142</f>
        <v>24089</v>
      </c>
      <c r="T142" s="12" t="str">
        <f aca="false">IF(S142="","",R142-S142)</f>
        <v/>
      </c>
      <c r="U142" s="13" t="str">
        <f aca="false">IF(S142="","",IF(S142=0,"",T142/S142))</f>
        <v/>
      </c>
      <c r="V142" s="33" t="n">
        <v>11262</v>
      </c>
      <c r="X142" s="9" t="s">
        <v>311</v>
      </c>
      <c r="Y142" s="3" t="s">
        <v>312</v>
      </c>
    </row>
    <row r="143" customFormat="false" ht="15" hidden="false" customHeight="false" outlineLevel="0" collapsed="false">
      <c r="A143" s="9" t="s">
        <v>314</v>
      </c>
      <c r="B143" s="9" t="s">
        <v>291</v>
      </c>
      <c r="C143" s="9" t="s">
        <v>221</v>
      </c>
      <c r="D143" s="33" t="n">
        <v>0</v>
      </c>
      <c r="E143" s="33" t="n">
        <v>9359</v>
      </c>
      <c r="F143" s="33" t="n">
        <v>0</v>
      </c>
      <c r="G143" s="33" t="n">
        <v>9150</v>
      </c>
      <c r="H143" s="33" t="n">
        <v>0</v>
      </c>
      <c r="I143" s="33" t="n">
        <v>10693</v>
      </c>
      <c r="J143" s="33" t="n">
        <v>0</v>
      </c>
      <c r="K143" s="33" t="n">
        <v>10339</v>
      </c>
      <c r="L143" s="33" t="n">
        <v>0</v>
      </c>
      <c r="M143" s="12" t="n">
        <f aca="false">SUM(D143:L143)</f>
        <v>39541</v>
      </c>
      <c r="N143" s="37" t="n">
        <f aca="false">$K143</f>
        <v>10339</v>
      </c>
      <c r="O143" s="37" t="n">
        <f aca="false">0</f>
        <v>0</v>
      </c>
      <c r="P143" s="37" t="n">
        <f aca="false">$K143</f>
        <v>10339</v>
      </c>
      <c r="Q143" s="37" t="n">
        <f aca="false">SUM(N143:P143)</f>
        <v>20678</v>
      </c>
      <c r="R143" s="21" t="n">
        <f aca="false">M143+Q143</f>
        <v>60219</v>
      </c>
      <c r="T143" s="12" t="str">
        <f aca="false">IF(S143="","",R143-S143)</f>
        <v/>
      </c>
      <c r="U143" s="13" t="str">
        <f aca="false">IF(S143="","",IF(S143=0,"",T143/S143))</f>
        <v/>
      </c>
      <c r="V143" s="33" t="n">
        <v>28155</v>
      </c>
      <c r="X143" s="9" t="s">
        <v>311</v>
      </c>
      <c r="Y143" s="3" t="s">
        <v>312</v>
      </c>
    </row>
    <row r="144" customFormat="false" ht="15" hidden="false" customHeight="false" outlineLevel="0" collapsed="false">
      <c r="A144" s="9" t="s">
        <v>300</v>
      </c>
      <c r="B144" s="9" t="s">
        <v>291</v>
      </c>
      <c r="C144" s="9" t="s">
        <v>221</v>
      </c>
      <c r="D144" s="33" t="n">
        <v>0</v>
      </c>
      <c r="E144" s="33" t="n">
        <v>0</v>
      </c>
      <c r="F144" s="33" t="n">
        <v>0</v>
      </c>
      <c r="G144" s="33" t="n">
        <v>0</v>
      </c>
      <c r="H144" s="33" t="n">
        <v>0</v>
      </c>
      <c r="I144" s="33" t="n">
        <v>0</v>
      </c>
      <c r="J144" s="33" t="n">
        <v>0</v>
      </c>
      <c r="K144" s="33" t="n">
        <v>0</v>
      </c>
      <c r="L144" s="33" t="n">
        <v>0</v>
      </c>
      <c r="M144" s="12" t="n">
        <f aca="false">SUM(D144:L144)</f>
        <v>0</v>
      </c>
      <c r="N144" s="11" t="n">
        <f aca="false">0</f>
        <v>0</v>
      </c>
      <c r="O144" s="11" t="n">
        <f aca="false">0</f>
        <v>0</v>
      </c>
      <c r="P144" s="11" t="n">
        <f aca="false">(AVERAGE($J133:$L133)+AVERAGE($J134:$L134))/Supuestos!$C$11*Supuestos!$C$13</f>
        <v>85235.5263157895</v>
      </c>
      <c r="Q144" s="37" t="n">
        <f aca="false">SUM(N144:P144)</f>
        <v>85235.5263157895</v>
      </c>
      <c r="R144" s="21" t="n">
        <f aca="false">M144+Q144</f>
        <v>85235.5263157895</v>
      </c>
      <c r="T144" s="12" t="str">
        <f aca="false">IF(S144="","",R144-S144)</f>
        <v/>
      </c>
      <c r="U144" s="13" t="str">
        <f aca="false">IF(S144="","",IF(S144=0,"",T144/S144))</f>
        <v/>
      </c>
      <c r="V144" s="33" t="n">
        <v>59366</v>
      </c>
      <c r="X144" s="9" t="s">
        <v>346</v>
      </c>
      <c r="Y144" s="3" t="s">
        <v>347</v>
      </c>
    </row>
    <row r="145" customFormat="false" ht="15" hidden="false" customHeight="false" outlineLevel="0" collapsed="false">
      <c r="A145" s="9" t="s">
        <v>315</v>
      </c>
      <c r="B145" s="9" t="s">
        <v>291</v>
      </c>
      <c r="C145" s="9" t="s">
        <v>221</v>
      </c>
      <c r="D145" s="33" t="n">
        <v>3822</v>
      </c>
      <c r="E145" s="33" t="n">
        <v>8467</v>
      </c>
      <c r="F145" s="33" t="n">
        <v>3744</v>
      </c>
      <c r="G145" s="33" t="n">
        <v>4177</v>
      </c>
      <c r="H145" s="33" t="n">
        <v>6253</v>
      </c>
      <c r="I145" s="33" t="n">
        <v>5777</v>
      </c>
      <c r="J145" s="33" t="n">
        <v>2645</v>
      </c>
      <c r="K145" s="33" t="n">
        <v>3987</v>
      </c>
      <c r="L145" s="33" t="n">
        <v>4318</v>
      </c>
      <c r="M145" s="12" t="n">
        <f aca="false">SUM(D145:L145)</f>
        <v>43190</v>
      </c>
      <c r="N145" s="11" t="n">
        <f aca="false">AVERAGE($J145:$L145)</f>
        <v>3650</v>
      </c>
      <c r="O145" s="11" t="n">
        <f aca="false">AVERAGE($J145:$L145)</f>
        <v>3650</v>
      </c>
      <c r="P145" s="11" t="n">
        <f aca="false">AVERAGE($J145:$L145)+Supuestos!$C$10*$P144</f>
        <v>6207.06578947368</v>
      </c>
      <c r="Q145" s="37" t="n">
        <f aca="false">SUM(N145:P145)</f>
        <v>13507.0657894737</v>
      </c>
      <c r="R145" s="21" t="n">
        <f aca="false">M145+Q145</f>
        <v>56697.0657894737</v>
      </c>
      <c r="T145" s="12" t="str">
        <f aca="false">IF(S145="","",R145-S145)</f>
        <v/>
      </c>
      <c r="U145" s="13" t="str">
        <f aca="false">IF(S145="","",IF(S145=0,"",T145/S145))</f>
        <v/>
      </c>
      <c r="V145" s="33" t="n">
        <v>25381</v>
      </c>
      <c r="X145" s="9" t="s">
        <v>316</v>
      </c>
      <c r="Y145" s="3" t="s">
        <v>317</v>
      </c>
    </row>
    <row r="146" customFormat="false" ht="15" hidden="false" customHeight="false" outlineLevel="0" collapsed="false">
      <c r="A146" s="3" t="s">
        <v>274</v>
      </c>
      <c r="V146" s="33" t="n">
        <v>14373</v>
      </c>
      <c r="X146" s="3" t="s">
        <v>275</v>
      </c>
      <c r="Y146" s="3" t="s">
        <v>276</v>
      </c>
    </row>
    <row r="147" customFormat="false" ht="15" hidden="false" customHeight="false" outlineLevel="0" collapsed="false">
      <c r="A147" s="40" t="s">
        <v>348</v>
      </c>
      <c r="B147" s="41"/>
      <c r="C147" s="41"/>
      <c r="D147" s="42" t="n">
        <f aca="false">SUM(D133:D146)</f>
        <v>105763</v>
      </c>
      <c r="E147" s="42" t="n">
        <f aca="false">SUM(E133:E146)</f>
        <v>137953</v>
      </c>
      <c r="F147" s="42" t="n">
        <f aca="false">SUM(F133:F146)</f>
        <v>112765</v>
      </c>
      <c r="G147" s="42" t="n">
        <f aca="false">SUM(G133:G146)</f>
        <v>139589</v>
      </c>
      <c r="H147" s="42" t="n">
        <f aca="false">SUM(H133:H146)</f>
        <v>147613</v>
      </c>
      <c r="I147" s="42" t="n">
        <f aca="false">SUM(I133:I146)</f>
        <v>141715</v>
      </c>
      <c r="J147" s="42" t="n">
        <f aca="false">SUM(J133:J146)</f>
        <v>111722</v>
      </c>
      <c r="K147" s="42" t="n">
        <f aca="false">SUM(K133:K146)</f>
        <v>139071</v>
      </c>
      <c r="L147" s="42" t="n">
        <f aca="false">SUM(L133:L146)</f>
        <v>108243</v>
      </c>
      <c r="M147" s="42" t="n">
        <f aca="false">SUM(M133:M146)</f>
        <v>1144434</v>
      </c>
      <c r="N147" s="42" t="n">
        <f aca="false">SUM(N133:N146)</f>
        <v>133647</v>
      </c>
      <c r="O147" s="42" t="n">
        <f aca="false">SUM(O133:O146)</f>
        <v>102047</v>
      </c>
      <c r="P147" s="42" t="n">
        <f aca="false">SUM(P133:P146)</f>
        <v>221439.592105263</v>
      </c>
      <c r="Q147" s="42" t="n">
        <f aca="false">SUM(Q133:Q146)</f>
        <v>457133.592105263</v>
      </c>
      <c r="R147" s="42" t="n">
        <f aca="false">SUM(R133:R146)</f>
        <v>1601567.59210526</v>
      </c>
      <c r="S147" s="42" t="n">
        <f aca="false">IF(COUNTIF('Presupuesto 2026'!$B:$B,$A147)=0,"",SUMIF('Presupuesto 2026'!$B:$B,$A147,'Presupuesto 2026'!$D:$D))</f>
        <v>1608399.9</v>
      </c>
      <c r="T147" s="42" t="n">
        <f aca="false">IF(S147="","",R147-S147)</f>
        <v>-6832.30789473676</v>
      </c>
      <c r="U147" s="43" t="n">
        <f aca="false">IF(S147="","",IF(S147=0,"",T147/S147))</f>
        <v>-0.00424789127053338</v>
      </c>
      <c r="V147" s="42" t="n">
        <f aca="false">SUM(V133:V146)</f>
        <v>1052355</v>
      </c>
      <c r="W147" s="41"/>
      <c r="X147" s="41"/>
      <c r="Y147" s="41"/>
    </row>
    <row r="149" customFormat="false" ht="15" hidden="false" customHeight="false" outlineLevel="0" collapsed="false">
      <c r="A149" s="6" t="s">
        <v>349</v>
      </c>
      <c r="B149" s="7" t="s">
        <v>350</v>
      </c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</row>
    <row r="150" customFormat="false" ht="15" hidden="false" customHeight="false" outlineLevel="0" collapsed="false">
      <c r="A150" s="9" t="s">
        <v>351</v>
      </c>
      <c r="B150" s="9" t="s">
        <v>291</v>
      </c>
      <c r="C150" s="9" t="s">
        <v>221</v>
      </c>
      <c r="D150" s="33" t="n">
        <v>42588</v>
      </c>
      <c r="E150" s="33" t="n">
        <v>7000</v>
      </c>
      <c r="F150" s="33" t="n">
        <v>33352</v>
      </c>
      <c r="G150" s="33" t="n">
        <v>45143</v>
      </c>
      <c r="H150" s="33" t="n">
        <v>45143</v>
      </c>
      <c r="I150" s="33" t="n">
        <v>78583</v>
      </c>
      <c r="J150" s="33" t="n">
        <v>108721</v>
      </c>
      <c r="K150" s="33" t="n">
        <v>108721</v>
      </c>
      <c r="L150" s="33" t="n">
        <v>108721</v>
      </c>
      <c r="M150" s="12" t="n">
        <f aca="false">SUM(D150:L150)</f>
        <v>577972</v>
      </c>
      <c r="N150" s="37" t="n">
        <f aca="false">AVERAGE($J150:$L150)</f>
        <v>108721</v>
      </c>
      <c r="O150" s="37" t="n">
        <f aca="false">AVERAGE($J150:$L150)</f>
        <v>108721</v>
      </c>
      <c r="P150" s="37" t="n">
        <f aca="false">AVERAGE($J150:$L150)</f>
        <v>108721</v>
      </c>
      <c r="Q150" s="37" t="n">
        <f aca="false">SUM(N150:P150)</f>
        <v>326163</v>
      </c>
      <c r="R150" s="21" t="n">
        <f aca="false">M150+Q150</f>
        <v>904135</v>
      </c>
      <c r="T150" s="12" t="str">
        <f aca="false">IF(S150="","",R150-S150)</f>
        <v/>
      </c>
      <c r="U150" s="13" t="str">
        <f aca="false">IF(S150="","",IF(S150=0,"",T150/S150))</f>
        <v/>
      </c>
      <c r="V150" s="33" t="n">
        <v>511056</v>
      </c>
      <c r="X150" s="9" t="s">
        <v>292</v>
      </c>
      <c r="Y150" s="3" t="s">
        <v>293</v>
      </c>
    </row>
    <row r="151" customFormat="false" ht="15" hidden="false" customHeight="false" outlineLevel="0" collapsed="false">
      <c r="A151" s="9" t="s">
        <v>294</v>
      </c>
      <c r="B151" s="9" t="s">
        <v>291</v>
      </c>
      <c r="C151" s="9" t="s">
        <v>221</v>
      </c>
      <c r="D151" s="33" t="n">
        <v>0</v>
      </c>
      <c r="E151" s="33" t="n">
        <v>10920</v>
      </c>
      <c r="F151" s="33" t="n">
        <v>0</v>
      </c>
      <c r="G151" s="33" t="n">
        <v>0</v>
      </c>
      <c r="H151" s="33" t="n">
        <v>0</v>
      </c>
      <c r="I151" s="33" t="n">
        <v>0</v>
      </c>
      <c r="J151" s="33" t="n">
        <v>0</v>
      </c>
      <c r="K151" s="33" t="n">
        <v>0</v>
      </c>
      <c r="L151" s="33" t="n">
        <v>0</v>
      </c>
      <c r="M151" s="12" t="n">
        <f aca="false">SUM(D151:L151)</f>
        <v>10920</v>
      </c>
      <c r="N151" s="37" t="n">
        <f aca="false">AVERAGE($G151:$L151)</f>
        <v>0</v>
      </c>
      <c r="O151" s="37" t="n">
        <f aca="false">AVERAGE($G151:$L151)</f>
        <v>0</v>
      </c>
      <c r="P151" s="37" t="n">
        <f aca="false">AVERAGE($G151:$L151)</f>
        <v>0</v>
      </c>
      <c r="Q151" s="37" t="n">
        <f aca="false">SUM(N151:P151)</f>
        <v>0</v>
      </c>
      <c r="R151" s="21" t="n">
        <f aca="false">M151+Q151</f>
        <v>10920</v>
      </c>
      <c r="T151" s="12" t="str">
        <f aca="false">IF(S151="","",R151-S151)</f>
        <v/>
      </c>
      <c r="U151" s="13" t="str">
        <f aca="false">IF(S151="","",IF(S151=0,"",T151/S151))</f>
        <v/>
      </c>
      <c r="X151" s="9" t="s">
        <v>248</v>
      </c>
      <c r="Y151" s="3" t="s">
        <v>249</v>
      </c>
    </row>
    <row r="152" customFormat="false" ht="15" hidden="false" customHeight="false" outlineLevel="0" collapsed="false">
      <c r="A152" s="9" t="s">
        <v>295</v>
      </c>
      <c r="B152" s="9" t="s">
        <v>291</v>
      </c>
      <c r="C152" s="9" t="s">
        <v>221</v>
      </c>
      <c r="D152" s="33" t="n">
        <v>0</v>
      </c>
      <c r="E152" s="33" t="n">
        <v>2730</v>
      </c>
      <c r="F152" s="33" t="n">
        <v>0</v>
      </c>
      <c r="G152" s="33" t="n">
        <v>0</v>
      </c>
      <c r="H152" s="33" t="n">
        <v>0</v>
      </c>
      <c r="I152" s="33" t="n">
        <v>0</v>
      </c>
      <c r="J152" s="33" t="n">
        <v>0</v>
      </c>
      <c r="K152" s="33" t="n">
        <v>0</v>
      </c>
      <c r="L152" s="33" t="n">
        <v>0</v>
      </c>
      <c r="M152" s="12" t="n">
        <f aca="false">SUM(D152:L152)</f>
        <v>2730</v>
      </c>
      <c r="N152" s="37" t="n">
        <f aca="false">AVERAGE($G152:$L152)</f>
        <v>0</v>
      </c>
      <c r="O152" s="37" t="n">
        <f aca="false">AVERAGE($G152:$L152)</f>
        <v>0</v>
      </c>
      <c r="P152" s="37" t="n">
        <f aca="false">AVERAGE($G152:$L152)</f>
        <v>0</v>
      </c>
      <c r="Q152" s="37" t="n">
        <f aca="false">SUM(N152:P152)</f>
        <v>0</v>
      </c>
      <c r="R152" s="21" t="n">
        <f aca="false">M152+Q152</f>
        <v>2730</v>
      </c>
      <c r="T152" s="12" t="str">
        <f aca="false">IF(S152="","",R152-S152)</f>
        <v/>
      </c>
      <c r="U152" s="13" t="str">
        <f aca="false">IF(S152="","",IF(S152=0,"",T152/S152))</f>
        <v/>
      </c>
      <c r="V152" s="33" t="n">
        <v>8050</v>
      </c>
      <c r="X152" s="9" t="s">
        <v>248</v>
      </c>
      <c r="Y152" s="3" t="s">
        <v>249</v>
      </c>
    </row>
    <row r="153" customFormat="false" ht="15" hidden="false" customHeight="false" outlineLevel="0" collapsed="false">
      <c r="A153" s="9" t="s">
        <v>352</v>
      </c>
      <c r="B153" s="9" t="s">
        <v>291</v>
      </c>
      <c r="C153" s="9" t="s">
        <v>221</v>
      </c>
      <c r="D153" s="33" t="n">
        <v>0</v>
      </c>
      <c r="E153" s="33" t="n">
        <v>4144</v>
      </c>
      <c r="F153" s="33" t="n">
        <v>0</v>
      </c>
      <c r="G153" s="33" t="n">
        <v>0</v>
      </c>
      <c r="H153" s="33" t="n">
        <v>0</v>
      </c>
      <c r="I153" s="33" t="n">
        <v>0</v>
      </c>
      <c r="J153" s="33" t="n">
        <v>0</v>
      </c>
      <c r="K153" s="33" t="n">
        <v>0</v>
      </c>
      <c r="L153" s="33" t="n">
        <v>0</v>
      </c>
      <c r="M153" s="12" t="n">
        <f aca="false">SUM(D153:L153)</f>
        <v>4144</v>
      </c>
      <c r="N153" s="37" t="n">
        <f aca="false">0</f>
        <v>0</v>
      </c>
      <c r="O153" s="37" t="n">
        <f aca="false">0</f>
        <v>0</v>
      </c>
      <c r="P153" s="37" t="n">
        <f aca="false">0</f>
        <v>0</v>
      </c>
      <c r="Q153" s="37" t="n">
        <f aca="false">SUM(N153:P153)</f>
        <v>0</v>
      </c>
      <c r="R153" s="21" t="n">
        <f aca="false">M153+Q153</f>
        <v>4144</v>
      </c>
      <c r="T153" s="12" t="str">
        <f aca="false">IF(S153="","",R153-S153)</f>
        <v/>
      </c>
      <c r="U153" s="13" t="str">
        <f aca="false">IF(S153="","",IF(S153=0,"",T153/S153))</f>
        <v/>
      </c>
      <c r="X153" s="9" t="s">
        <v>297</v>
      </c>
      <c r="Y153" s="3" t="s">
        <v>298</v>
      </c>
    </row>
    <row r="154" customFormat="false" ht="15" hidden="false" customHeight="false" outlineLevel="0" collapsed="false">
      <c r="A154" s="9" t="s">
        <v>306</v>
      </c>
      <c r="B154" s="9" t="s">
        <v>291</v>
      </c>
      <c r="C154" s="9" t="s">
        <v>221</v>
      </c>
      <c r="D154" s="33" t="n">
        <v>3805</v>
      </c>
      <c r="E154" s="33" t="n">
        <v>1601</v>
      </c>
      <c r="F154" s="33" t="n">
        <v>1902</v>
      </c>
      <c r="G154" s="33" t="n">
        <v>3805</v>
      </c>
      <c r="H154" s="33" t="n">
        <v>3805</v>
      </c>
      <c r="I154" s="33" t="n">
        <v>5806</v>
      </c>
      <c r="J154" s="33" t="n">
        <v>7610</v>
      </c>
      <c r="K154" s="33" t="n">
        <v>7610</v>
      </c>
      <c r="L154" s="33" t="n">
        <v>7610</v>
      </c>
      <c r="M154" s="12" t="n">
        <f aca="false">SUM(D154:L154)</f>
        <v>43554</v>
      </c>
      <c r="N154" s="37" t="n">
        <f aca="false">AVERAGE($J154:$L154)</f>
        <v>7610</v>
      </c>
      <c r="O154" s="37" t="n">
        <f aca="false">AVERAGE($J154:$L154)</f>
        <v>7610</v>
      </c>
      <c r="P154" s="37" t="n">
        <f aca="false">AVERAGE($J154:$L154)</f>
        <v>7610</v>
      </c>
      <c r="Q154" s="37" t="n">
        <f aca="false">SUM(N154:P154)</f>
        <v>22830</v>
      </c>
      <c r="R154" s="21" t="n">
        <f aca="false">M154+Q154</f>
        <v>66384</v>
      </c>
      <c r="T154" s="12" t="str">
        <f aca="false">IF(S154="","",R154-S154)</f>
        <v/>
      </c>
      <c r="U154" s="13" t="str">
        <f aca="false">IF(S154="","",IF(S154=0,"",T154/S154))</f>
        <v/>
      </c>
      <c r="V154" s="33" t="n">
        <v>45660</v>
      </c>
      <c r="X154" s="9" t="s">
        <v>304</v>
      </c>
      <c r="Y154" s="3" t="s">
        <v>305</v>
      </c>
    </row>
    <row r="155" customFormat="false" ht="15" hidden="false" customHeight="false" outlineLevel="0" collapsed="false">
      <c r="A155" s="9" t="s">
        <v>307</v>
      </c>
      <c r="B155" s="9" t="s">
        <v>291</v>
      </c>
      <c r="C155" s="9" t="s">
        <v>221</v>
      </c>
      <c r="D155" s="33" t="n">
        <v>3752</v>
      </c>
      <c r="E155" s="33" t="n">
        <v>1876</v>
      </c>
      <c r="F155" s="33" t="n">
        <v>2500</v>
      </c>
      <c r="G155" s="33" t="n">
        <v>5000</v>
      </c>
      <c r="H155" s="33" t="n">
        <v>5000</v>
      </c>
      <c r="I155" s="33" t="n">
        <v>6000</v>
      </c>
      <c r="J155" s="33" t="n">
        <v>7000</v>
      </c>
      <c r="K155" s="33" t="n">
        <v>7000</v>
      </c>
      <c r="L155" s="33" t="n">
        <v>7000</v>
      </c>
      <c r="M155" s="12" t="n">
        <f aca="false">SUM(D155:L155)</f>
        <v>45128</v>
      </c>
      <c r="N155" s="37" t="n">
        <f aca="false">AVERAGE($J155:$L155)</f>
        <v>7000</v>
      </c>
      <c r="O155" s="37" t="n">
        <f aca="false">AVERAGE($J155:$L155)</f>
        <v>7000</v>
      </c>
      <c r="P155" s="37" t="n">
        <f aca="false">AVERAGE($J155:$L155)</f>
        <v>7000</v>
      </c>
      <c r="Q155" s="37" t="n">
        <f aca="false">SUM(N155:P155)</f>
        <v>21000</v>
      </c>
      <c r="R155" s="21" t="n">
        <f aca="false">M155+Q155</f>
        <v>66128</v>
      </c>
      <c r="T155" s="12" t="str">
        <f aca="false">IF(S155="","",R155-S155)</f>
        <v/>
      </c>
      <c r="U155" s="13" t="str">
        <f aca="false">IF(S155="","",IF(S155=0,"",T155/S155))</f>
        <v/>
      </c>
      <c r="V155" s="33" t="n">
        <v>44799</v>
      </c>
      <c r="X155" s="9" t="s">
        <v>304</v>
      </c>
      <c r="Y155" s="3" t="s">
        <v>305</v>
      </c>
    </row>
    <row r="156" customFormat="false" ht="15" hidden="false" customHeight="false" outlineLevel="0" collapsed="false">
      <c r="A156" s="9" t="s">
        <v>308</v>
      </c>
      <c r="B156" s="9" t="s">
        <v>291</v>
      </c>
      <c r="C156" s="9" t="s">
        <v>221</v>
      </c>
      <c r="D156" s="33" t="n">
        <v>0</v>
      </c>
      <c r="E156" s="33" t="n">
        <v>0</v>
      </c>
      <c r="F156" s="33" t="n">
        <v>0</v>
      </c>
      <c r="G156" s="33" t="n">
        <v>0</v>
      </c>
      <c r="H156" s="33" t="n">
        <v>29680</v>
      </c>
      <c r="I156" s="33" t="n">
        <v>0</v>
      </c>
      <c r="J156" s="33" t="n">
        <v>0</v>
      </c>
      <c r="K156" s="33" t="n">
        <v>0</v>
      </c>
      <c r="L156" s="33" t="n">
        <v>0</v>
      </c>
      <c r="M156" s="12" t="n">
        <f aca="false">SUM(D156:L156)</f>
        <v>29680</v>
      </c>
      <c r="N156" s="37" t="n">
        <f aca="false">0</f>
        <v>0</v>
      </c>
      <c r="O156" s="37" t="n">
        <f aca="false">0</f>
        <v>0</v>
      </c>
      <c r="P156" s="37" t="n">
        <f aca="false">0</f>
        <v>0</v>
      </c>
      <c r="Q156" s="37" t="n">
        <f aca="false">SUM(N156:P156)</f>
        <v>0</v>
      </c>
      <c r="R156" s="21" t="n">
        <f aca="false">M156+Q156</f>
        <v>29680</v>
      </c>
      <c r="T156" s="12" t="str">
        <f aca="false">IF(S156="","",R156-S156)</f>
        <v/>
      </c>
      <c r="U156" s="13" t="str">
        <f aca="false">IF(S156="","",IF(S156=0,"",T156/S156))</f>
        <v/>
      </c>
      <c r="V156" s="33" t="n">
        <v>28000</v>
      </c>
      <c r="X156" s="9" t="s">
        <v>297</v>
      </c>
      <c r="Y156" s="3" t="s">
        <v>298</v>
      </c>
    </row>
    <row r="157" customFormat="false" ht="15" hidden="false" customHeight="false" outlineLevel="0" collapsed="false">
      <c r="A157" s="9" t="s">
        <v>309</v>
      </c>
      <c r="B157" s="9" t="s">
        <v>291</v>
      </c>
      <c r="C157" s="9" t="s">
        <v>221</v>
      </c>
      <c r="D157" s="33" t="n">
        <v>3943</v>
      </c>
      <c r="E157" s="33" t="n">
        <v>587</v>
      </c>
      <c r="F157" s="33" t="n">
        <v>4150</v>
      </c>
      <c r="G157" s="33" t="n">
        <v>3676</v>
      </c>
      <c r="H157" s="33" t="n">
        <v>4222</v>
      </c>
      <c r="I157" s="33" t="n">
        <v>7475</v>
      </c>
      <c r="J157" s="33" t="n">
        <v>11189</v>
      </c>
      <c r="K157" s="33" t="n">
        <v>10457</v>
      </c>
      <c r="L157" s="33" t="n">
        <v>11011</v>
      </c>
      <c r="M157" s="12" t="n">
        <f aca="false">SUM(D157:L157)</f>
        <v>56710</v>
      </c>
      <c r="N157" s="37" t="n">
        <f aca="false">AVERAGE($J157:$L157)</f>
        <v>10885.6666666667</v>
      </c>
      <c r="O157" s="37" t="n">
        <f aca="false">AVERAGE($J157:$L157)</f>
        <v>10885.6666666667</v>
      </c>
      <c r="P157" s="37" t="n">
        <f aca="false">AVERAGE($J157:$L157)</f>
        <v>10885.6666666667</v>
      </c>
      <c r="Q157" s="37" t="n">
        <f aca="false">SUM(N157:P157)</f>
        <v>32657</v>
      </c>
      <c r="R157" s="21" t="n">
        <f aca="false">M157+Q157</f>
        <v>89367</v>
      </c>
      <c r="T157" s="12" t="str">
        <f aca="false">IF(S157="","",R157-S157)</f>
        <v/>
      </c>
      <c r="U157" s="13" t="str">
        <f aca="false">IF(S157="","",IF(S157=0,"",T157/S157))</f>
        <v/>
      </c>
      <c r="V157" s="33" t="n">
        <v>41561</v>
      </c>
      <c r="X157" s="9" t="s">
        <v>304</v>
      </c>
      <c r="Y157" s="3" t="s">
        <v>305</v>
      </c>
    </row>
    <row r="158" customFormat="false" ht="15" hidden="false" customHeight="false" outlineLevel="0" collapsed="false">
      <c r="A158" s="9" t="s">
        <v>310</v>
      </c>
      <c r="B158" s="9" t="s">
        <v>291</v>
      </c>
      <c r="C158" s="9" t="s">
        <v>221</v>
      </c>
      <c r="D158" s="33" t="n">
        <v>0</v>
      </c>
      <c r="E158" s="33" t="n">
        <v>1305</v>
      </c>
      <c r="F158" s="33" t="n">
        <v>0</v>
      </c>
      <c r="G158" s="33" t="n">
        <v>7690</v>
      </c>
      <c r="H158" s="33" t="n">
        <v>0</v>
      </c>
      <c r="I158" s="33" t="n">
        <v>15990</v>
      </c>
      <c r="J158" s="33" t="n">
        <v>0</v>
      </c>
      <c r="K158" s="33" t="n">
        <v>21556</v>
      </c>
      <c r="L158" s="33" t="n">
        <v>0</v>
      </c>
      <c r="M158" s="12" t="n">
        <f aca="false">SUM(D158:L158)</f>
        <v>46541</v>
      </c>
      <c r="N158" s="37" t="n">
        <f aca="false">$K158</f>
        <v>21556</v>
      </c>
      <c r="O158" s="37" t="n">
        <f aca="false">0</f>
        <v>0</v>
      </c>
      <c r="P158" s="37" t="n">
        <f aca="false">$K158</f>
        <v>21556</v>
      </c>
      <c r="Q158" s="37" t="n">
        <f aca="false">SUM(N158:P158)</f>
        <v>43112</v>
      </c>
      <c r="R158" s="21" t="n">
        <f aca="false">M158+Q158</f>
        <v>89653</v>
      </c>
      <c r="T158" s="12" t="str">
        <f aca="false">IF(S158="","",R158-S158)</f>
        <v/>
      </c>
      <c r="U158" s="13" t="str">
        <f aca="false">IF(S158="","",IF(S158=0,"",T158/S158))</f>
        <v/>
      </c>
      <c r="V158" s="33" t="n">
        <v>39625</v>
      </c>
      <c r="X158" s="9" t="s">
        <v>311</v>
      </c>
      <c r="Y158" s="3" t="s">
        <v>312</v>
      </c>
    </row>
    <row r="159" customFormat="false" ht="15" hidden="false" customHeight="false" outlineLevel="0" collapsed="false">
      <c r="A159" s="9" t="s">
        <v>313</v>
      </c>
      <c r="B159" s="9" t="s">
        <v>291</v>
      </c>
      <c r="C159" s="9" t="s">
        <v>221</v>
      </c>
      <c r="D159" s="33" t="n">
        <v>0</v>
      </c>
      <c r="E159" s="33" t="n">
        <v>322</v>
      </c>
      <c r="F159" s="33" t="n">
        <v>0</v>
      </c>
      <c r="G159" s="33" t="n">
        <v>1913</v>
      </c>
      <c r="H159" s="33" t="n">
        <v>0</v>
      </c>
      <c r="I159" s="33" t="n">
        <v>3892</v>
      </c>
      <c r="J159" s="33" t="n">
        <v>0</v>
      </c>
      <c r="K159" s="33" t="n">
        <v>5206</v>
      </c>
      <c r="L159" s="33" t="n">
        <v>0</v>
      </c>
      <c r="M159" s="12" t="n">
        <f aca="false">SUM(D159:L159)</f>
        <v>11333</v>
      </c>
      <c r="N159" s="37" t="n">
        <f aca="false">$K159</f>
        <v>5206</v>
      </c>
      <c r="O159" s="37" t="n">
        <f aca="false">0</f>
        <v>0</v>
      </c>
      <c r="P159" s="37" t="n">
        <f aca="false">$K159</f>
        <v>5206</v>
      </c>
      <c r="Q159" s="37" t="n">
        <f aca="false">SUM(N159:P159)</f>
        <v>10412</v>
      </c>
      <c r="R159" s="21" t="n">
        <f aca="false">M159+Q159</f>
        <v>21745</v>
      </c>
      <c r="T159" s="12" t="str">
        <f aca="false">IF(S159="","",R159-S159)</f>
        <v/>
      </c>
      <c r="U159" s="13" t="str">
        <f aca="false">IF(S159="","",IF(S159=0,"",T159/S159))</f>
        <v/>
      </c>
      <c r="V159" s="33" t="n">
        <v>10982</v>
      </c>
      <c r="X159" s="9" t="s">
        <v>311</v>
      </c>
      <c r="Y159" s="3" t="s">
        <v>312</v>
      </c>
    </row>
    <row r="160" customFormat="false" ht="15" hidden="false" customHeight="false" outlineLevel="0" collapsed="false">
      <c r="A160" s="9" t="s">
        <v>314</v>
      </c>
      <c r="B160" s="9" t="s">
        <v>291</v>
      </c>
      <c r="C160" s="9" t="s">
        <v>221</v>
      </c>
      <c r="D160" s="33" t="n">
        <v>0</v>
      </c>
      <c r="E160" s="33" t="n">
        <v>804</v>
      </c>
      <c r="F160" s="33" t="n">
        <v>0</v>
      </c>
      <c r="G160" s="33" t="n">
        <v>4782</v>
      </c>
      <c r="H160" s="33" t="n">
        <v>0</v>
      </c>
      <c r="I160" s="33" t="n">
        <v>9729</v>
      </c>
      <c r="J160" s="33" t="n">
        <v>0</v>
      </c>
      <c r="K160" s="33" t="n">
        <v>13014</v>
      </c>
      <c r="L160" s="33" t="n">
        <v>0</v>
      </c>
      <c r="M160" s="12" t="n">
        <f aca="false">SUM(D160:L160)</f>
        <v>28329</v>
      </c>
      <c r="N160" s="37" t="n">
        <f aca="false">$K160</f>
        <v>13014</v>
      </c>
      <c r="O160" s="37" t="n">
        <f aca="false">0</f>
        <v>0</v>
      </c>
      <c r="P160" s="37" t="n">
        <f aca="false">$K160</f>
        <v>13014</v>
      </c>
      <c r="Q160" s="37" t="n">
        <f aca="false">SUM(N160:P160)</f>
        <v>26028</v>
      </c>
      <c r="R160" s="21" t="n">
        <f aca="false">M160+Q160</f>
        <v>54357</v>
      </c>
      <c r="T160" s="12" t="str">
        <f aca="false">IF(S160="","",R160-S160)</f>
        <v/>
      </c>
      <c r="U160" s="13" t="str">
        <f aca="false">IF(S160="","",IF(S160=0,"",T160/S160))</f>
        <v/>
      </c>
      <c r="V160" s="33" t="n">
        <v>27454</v>
      </c>
      <c r="X160" s="9" t="s">
        <v>311</v>
      </c>
      <c r="Y160" s="3" t="s">
        <v>312</v>
      </c>
    </row>
    <row r="161" customFormat="false" ht="15" hidden="false" customHeight="false" outlineLevel="0" collapsed="false">
      <c r="A161" s="9" t="s">
        <v>300</v>
      </c>
      <c r="B161" s="9" t="s">
        <v>291</v>
      </c>
      <c r="C161" s="9" t="s">
        <v>221</v>
      </c>
      <c r="D161" s="33" t="n">
        <v>0</v>
      </c>
      <c r="E161" s="33" t="n">
        <v>0</v>
      </c>
      <c r="F161" s="33" t="n">
        <v>0</v>
      </c>
      <c r="G161" s="33" t="n">
        <v>0</v>
      </c>
      <c r="H161" s="33" t="n">
        <v>0</v>
      </c>
      <c r="I161" s="33" t="n">
        <v>0</v>
      </c>
      <c r="J161" s="33" t="n">
        <v>0</v>
      </c>
      <c r="K161" s="33" t="n">
        <v>0</v>
      </c>
      <c r="L161" s="33" t="n">
        <v>0</v>
      </c>
      <c r="M161" s="12" t="n">
        <f aca="false">SUM(D161:L161)</f>
        <v>0</v>
      </c>
      <c r="N161" s="11" t="n">
        <f aca="false">0</f>
        <v>0</v>
      </c>
      <c r="O161" s="11" t="n">
        <f aca="false">0</f>
        <v>0</v>
      </c>
      <c r="P161" s="11" t="n">
        <f aca="false">(AVERAGE($J150:$L150)+AVERAGE($J151:$L151))/Supuestos!$C$11*Supuestos!$C$13</f>
        <v>107290.460526316</v>
      </c>
      <c r="Q161" s="37" t="n">
        <f aca="false">SUM(N161:P161)</f>
        <v>107290.460526316</v>
      </c>
      <c r="R161" s="21" t="n">
        <f aca="false">M161+Q161</f>
        <v>107290.460526316</v>
      </c>
      <c r="T161" s="12" t="str">
        <f aca="false">IF(S161="","",R161-S161)</f>
        <v/>
      </c>
      <c r="U161" s="13" t="str">
        <f aca="false">IF(S161="","",IF(S161=0,"",T161/S161))</f>
        <v/>
      </c>
      <c r="V161" s="33" t="n">
        <v>42000</v>
      </c>
      <c r="X161" s="9" t="s">
        <v>346</v>
      </c>
      <c r="Y161" s="3" t="s">
        <v>347</v>
      </c>
    </row>
    <row r="162" customFormat="false" ht="15" hidden="false" customHeight="false" outlineLevel="0" collapsed="false">
      <c r="A162" s="9" t="s">
        <v>315</v>
      </c>
      <c r="B162" s="9" t="s">
        <v>291</v>
      </c>
      <c r="C162" s="9" t="s">
        <v>221</v>
      </c>
      <c r="D162" s="33" t="n">
        <v>1997</v>
      </c>
      <c r="E162" s="33" t="n">
        <v>1484</v>
      </c>
      <c r="F162" s="33" t="n">
        <v>2195</v>
      </c>
      <c r="G162" s="33" t="n">
        <v>2183</v>
      </c>
      <c r="H162" s="33" t="n">
        <v>3268</v>
      </c>
      <c r="I162" s="33" t="n">
        <v>5256</v>
      </c>
      <c r="J162" s="33" t="n">
        <v>5499</v>
      </c>
      <c r="K162" s="33" t="n">
        <v>5019</v>
      </c>
      <c r="L162" s="33" t="n">
        <v>5435</v>
      </c>
      <c r="M162" s="12" t="n">
        <f aca="false">SUM(D162:L162)</f>
        <v>32336</v>
      </c>
      <c r="N162" s="11" t="n">
        <f aca="false">AVERAGE($J162:$L162)</f>
        <v>5317.66666666667</v>
      </c>
      <c r="O162" s="11" t="n">
        <f aca="false">AVERAGE($J162:$L162)</f>
        <v>5317.66666666667</v>
      </c>
      <c r="P162" s="11" t="n">
        <f aca="false">AVERAGE($J162:$L162)+Supuestos!$C$10*$P161</f>
        <v>8536.38048245614</v>
      </c>
      <c r="Q162" s="37" t="n">
        <f aca="false">SUM(N162:P162)</f>
        <v>19171.7138157895</v>
      </c>
      <c r="R162" s="21" t="n">
        <f aca="false">M162+Q162</f>
        <v>51507.7138157895</v>
      </c>
      <c r="T162" s="12" t="str">
        <f aca="false">IF(S162="","",R162-S162)</f>
        <v/>
      </c>
      <c r="U162" s="13" t="str">
        <f aca="false">IF(S162="","",IF(S162=0,"",T162/S162))</f>
        <v/>
      </c>
      <c r="V162" s="33" t="n">
        <v>23975</v>
      </c>
      <c r="X162" s="9" t="s">
        <v>316</v>
      </c>
      <c r="Y162" s="3" t="s">
        <v>317</v>
      </c>
    </row>
    <row r="163" customFormat="false" ht="15" hidden="false" customHeight="false" outlineLevel="0" collapsed="false">
      <c r="A163" s="9" t="s">
        <v>339</v>
      </c>
      <c r="B163" s="9" t="s">
        <v>291</v>
      </c>
      <c r="C163" s="9" t="s">
        <v>221</v>
      </c>
      <c r="D163" s="33" t="n">
        <v>0</v>
      </c>
      <c r="E163" s="33" t="n">
        <v>151673</v>
      </c>
      <c r="F163" s="33" t="n">
        <v>0</v>
      </c>
      <c r="G163" s="33" t="n">
        <v>0</v>
      </c>
      <c r="H163" s="33" t="n">
        <v>0</v>
      </c>
      <c r="I163" s="33" t="n">
        <v>0</v>
      </c>
      <c r="J163" s="33" t="n">
        <v>0</v>
      </c>
      <c r="K163" s="33" t="n">
        <v>0</v>
      </c>
      <c r="L163" s="33" t="n">
        <v>0</v>
      </c>
      <c r="M163" s="12" t="n">
        <f aca="false">SUM(D163:L163)</f>
        <v>151673</v>
      </c>
      <c r="N163" s="37" t="n">
        <f aca="false">0</f>
        <v>0</v>
      </c>
      <c r="O163" s="37" t="n">
        <f aca="false">0</f>
        <v>0</v>
      </c>
      <c r="P163" s="37" t="n">
        <f aca="false">0</f>
        <v>0</v>
      </c>
      <c r="Q163" s="37" t="n">
        <f aca="false">SUM(N163:P163)</f>
        <v>0</v>
      </c>
      <c r="R163" s="21" t="n">
        <f aca="false">M163+Q163</f>
        <v>151673</v>
      </c>
      <c r="T163" s="12" t="str">
        <f aca="false">IF(S163="","",R163-S163)</f>
        <v/>
      </c>
      <c r="U163" s="13" t="str">
        <f aca="false">IF(S163="","",IF(S163=0,"",T163/S163))</f>
        <v/>
      </c>
      <c r="X163" s="9" t="s">
        <v>297</v>
      </c>
      <c r="Y163" s="3" t="s">
        <v>298</v>
      </c>
    </row>
    <row r="164" customFormat="false" ht="15" hidden="false" customHeight="false" outlineLevel="0" collapsed="false">
      <c r="A164" s="9" t="s">
        <v>340</v>
      </c>
      <c r="B164" s="9" t="s">
        <v>291</v>
      </c>
      <c r="C164" s="9" t="s">
        <v>221</v>
      </c>
      <c r="D164" s="33" t="n">
        <v>0</v>
      </c>
      <c r="E164" s="33" t="n">
        <v>9451</v>
      </c>
      <c r="F164" s="33" t="n">
        <v>0</v>
      </c>
      <c r="G164" s="33" t="n">
        <v>0</v>
      </c>
      <c r="H164" s="33" t="n">
        <v>0</v>
      </c>
      <c r="I164" s="33" t="n">
        <v>0</v>
      </c>
      <c r="J164" s="33" t="n">
        <v>0</v>
      </c>
      <c r="K164" s="33" t="n">
        <v>0</v>
      </c>
      <c r="L164" s="33" t="n">
        <v>0</v>
      </c>
      <c r="M164" s="12" t="n">
        <f aca="false">SUM(D164:L164)</f>
        <v>9451</v>
      </c>
      <c r="N164" s="37" t="n">
        <f aca="false">0</f>
        <v>0</v>
      </c>
      <c r="O164" s="37" t="n">
        <f aca="false">0</f>
        <v>0</v>
      </c>
      <c r="P164" s="37" t="n">
        <f aca="false">0</f>
        <v>0</v>
      </c>
      <c r="Q164" s="37" t="n">
        <f aca="false">SUM(N164:P164)</f>
        <v>0</v>
      </c>
      <c r="R164" s="21" t="n">
        <f aca="false">M164+Q164</f>
        <v>9451</v>
      </c>
      <c r="T164" s="12" t="str">
        <f aca="false">IF(S164="","",R164-S164)</f>
        <v/>
      </c>
      <c r="U164" s="13" t="str">
        <f aca="false">IF(S164="","",IF(S164=0,"",T164/S164))</f>
        <v/>
      </c>
      <c r="X164" s="9" t="s">
        <v>297</v>
      </c>
      <c r="Y164" s="3" t="s">
        <v>298</v>
      </c>
    </row>
    <row r="165" customFormat="false" ht="15" hidden="false" customHeight="false" outlineLevel="0" collapsed="false">
      <c r="A165" s="3" t="s">
        <v>274</v>
      </c>
      <c r="V165" s="33" t="n">
        <v>2800</v>
      </c>
      <c r="X165" s="3" t="s">
        <v>275</v>
      </c>
      <c r="Y165" s="3" t="s">
        <v>276</v>
      </c>
    </row>
    <row r="166" customFormat="false" ht="15" hidden="false" customHeight="false" outlineLevel="0" collapsed="false">
      <c r="A166" s="40" t="s">
        <v>353</v>
      </c>
      <c r="B166" s="41"/>
      <c r="C166" s="41"/>
      <c r="D166" s="42" t="n">
        <f aca="false">SUM(D150:D165)</f>
        <v>56085</v>
      </c>
      <c r="E166" s="42" t="n">
        <f aca="false">SUM(E150:E165)</f>
        <v>193897</v>
      </c>
      <c r="F166" s="42" t="n">
        <f aca="false">SUM(F150:F165)</f>
        <v>44099</v>
      </c>
      <c r="G166" s="42" t="n">
        <f aca="false">SUM(G150:G165)</f>
        <v>74192</v>
      </c>
      <c r="H166" s="42" t="n">
        <f aca="false">SUM(H150:H165)</f>
        <v>91118</v>
      </c>
      <c r="I166" s="42" t="n">
        <f aca="false">SUM(I150:I165)</f>
        <v>132731</v>
      </c>
      <c r="J166" s="42" t="n">
        <f aca="false">SUM(J150:J165)</f>
        <v>140019</v>
      </c>
      <c r="K166" s="42" t="n">
        <f aca="false">SUM(K150:K165)</f>
        <v>178583</v>
      </c>
      <c r="L166" s="42" t="n">
        <f aca="false">SUM(L150:L165)</f>
        <v>139777</v>
      </c>
      <c r="M166" s="42" t="n">
        <f aca="false">SUM(M150:M165)</f>
        <v>1050501</v>
      </c>
      <c r="N166" s="42" t="n">
        <f aca="false">SUM(N150:N165)</f>
        <v>179310.333333333</v>
      </c>
      <c r="O166" s="42" t="n">
        <f aca="false">SUM(O150:O165)</f>
        <v>139534.333333333</v>
      </c>
      <c r="P166" s="42" t="n">
        <f aca="false">SUM(P150:P165)</f>
        <v>289819.507675439</v>
      </c>
      <c r="Q166" s="42" t="n">
        <f aca="false">SUM(Q150:Q165)</f>
        <v>608664.174342105</v>
      </c>
      <c r="R166" s="42" t="n">
        <f aca="false">SUM(R150:R165)</f>
        <v>1659165.17434211</v>
      </c>
      <c r="S166" s="42" t="n">
        <f aca="false">IF(COUNTIF('Presupuesto 2026'!$B:$B,$A166)=0,"",SUMIF('Presupuesto 2026'!$B:$B,$A166,'Presupuesto 2026'!$D:$D))</f>
        <v>886160.7</v>
      </c>
      <c r="T166" s="42" t="n">
        <f aca="false">IF(S166="","",R166-S166)</f>
        <v>773004.474342105</v>
      </c>
      <c r="U166" s="43" t="n">
        <f aca="false">IF(S166="","",IF(S166=0,"",T166/S166))</f>
        <v>0.872307330196549</v>
      </c>
      <c r="V166" s="42" t="n">
        <f aca="false">SUM(V150:V165)</f>
        <v>825962</v>
      </c>
      <c r="W166" s="41"/>
      <c r="X166" s="41"/>
      <c r="Y166" s="41"/>
    </row>
    <row r="168" customFormat="false" ht="15" hidden="false" customHeight="false" outlineLevel="0" collapsed="false">
      <c r="A168" s="6" t="s">
        <v>354</v>
      </c>
      <c r="B168" s="7" t="s">
        <v>355</v>
      </c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</row>
    <row r="169" customFormat="false" ht="15" hidden="false" customHeight="false" outlineLevel="0" collapsed="false">
      <c r="A169" s="9" t="s">
        <v>290</v>
      </c>
      <c r="B169" s="9" t="s">
        <v>291</v>
      </c>
      <c r="C169" s="9" t="s">
        <v>221</v>
      </c>
      <c r="D169" s="33" t="n">
        <v>45030</v>
      </c>
      <c r="E169" s="33" t="n">
        <v>45015</v>
      </c>
      <c r="F169" s="33" t="n">
        <v>51292</v>
      </c>
      <c r="G169" s="33" t="n">
        <v>47732</v>
      </c>
      <c r="H169" s="33" t="n">
        <v>28903</v>
      </c>
      <c r="I169" s="33" t="n">
        <v>47732</v>
      </c>
      <c r="J169" s="33" t="n">
        <v>47732</v>
      </c>
      <c r="K169" s="33" t="n">
        <v>47732</v>
      </c>
      <c r="L169" s="33" t="n">
        <v>47732</v>
      </c>
      <c r="M169" s="12" t="n">
        <f aca="false">SUM(D169:L169)</f>
        <v>408900</v>
      </c>
      <c r="N169" s="37" t="n">
        <f aca="false">AVERAGE($J169:$L169)</f>
        <v>47732</v>
      </c>
      <c r="O169" s="37" t="n">
        <f aca="false">AVERAGE($J169:$L169)</f>
        <v>47732</v>
      </c>
      <c r="P169" s="37" t="n">
        <f aca="false">AVERAGE($J169:$L169)</f>
        <v>47732</v>
      </c>
      <c r="Q169" s="37" t="n">
        <f aca="false">SUM(N169:P169)</f>
        <v>143196</v>
      </c>
      <c r="R169" s="21" t="n">
        <f aca="false">M169+Q169</f>
        <v>552096</v>
      </c>
      <c r="T169" s="12" t="str">
        <f aca="false">IF(S169="","",R169-S169)</f>
        <v/>
      </c>
      <c r="U169" s="13" t="str">
        <f aca="false">IF(S169="","",IF(S169=0,"",T169/S169))</f>
        <v/>
      </c>
      <c r="V169" s="33" t="n">
        <v>540360</v>
      </c>
      <c r="X169" s="9" t="s">
        <v>292</v>
      </c>
      <c r="Y169" s="3" t="s">
        <v>293</v>
      </c>
    </row>
    <row r="170" customFormat="false" ht="15" hidden="false" customHeight="false" outlineLevel="0" collapsed="false">
      <c r="A170" s="9" t="s">
        <v>294</v>
      </c>
      <c r="B170" s="9" t="s">
        <v>291</v>
      </c>
      <c r="C170" s="9" t="s">
        <v>221</v>
      </c>
      <c r="D170" s="33" t="n">
        <v>0</v>
      </c>
      <c r="E170" s="33" t="n">
        <v>0</v>
      </c>
      <c r="F170" s="33" t="n">
        <v>0</v>
      </c>
      <c r="G170" s="33" t="n">
        <v>0</v>
      </c>
      <c r="H170" s="33" t="n">
        <v>18829</v>
      </c>
      <c r="I170" s="33" t="n">
        <v>0</v>
      </c>
      <c r="J170" s="33" t="n">
        <v>0</v>
      </c>
      <c r="K170" s="33" t="n">
        <v>0</v>
      </c>
      <c r="L170" s="33" t="n">
        <v>0</v>
      </c>
      <c r="M170" s="12" t="n">
        <f aca="false">SUM(D170:L170)</f>
        <v>18829</v>
      </c>
      <c r="N170" s="37" t="n">
        <f aca="false">AVERAGE($G170:$L170)</f>
        <v>3138.16666666667</v>
      </c>
      <c r="O170" s="37" t="n">
        <f aca="false">AVERAGE($G170:$L170)</f>
        <v>3138.16666666667</v>
      </c>
      <c r="P170" s="37" t="n">
        <f aca="false">AVERAGE($G170:$L170)</f>
        <v>3138.16666666667</v>
      </c>
      <c r="Q170" s="37" t="n">
        <f aca="false">SUM(N170:P170)</f>
        <v>9414.5</v>
      </c>
      <c r="R170" s="21" t="n">
        <f aca="false">M170+Q170</f>
        <v>28243.5</v>
      </c>
      <c r="T170" s="12" t="str">
        <f aca="false">IF(S170="","",R170-S170)</f>
        <v/>
      </c>
      <c r="U170" s="13" t="str">
        <f aca="false">IF(S170="","",IF(S170=0,"",T170/S170))</f>
        <v/>
      </c>
      <c r="X170" s="9" t="s">
        <v>248</v>
      </c>
      <c r="Y170" s="3" t="s">
        <v>249</v>
      </c>
    </row>
    <row r="171" customFormat="false" ht="15" hidden="false" customHeight="false" outlineLevel="0" collapsed="false">
      <c r="A171" s="9" t="s">
        <v>295</v>
      </c>
      <c r="B171" s="9" t="s">
        <v>291</v>
      </c>
      <c r="C171" s="9" t="s">
        <v>221</v>
      </c>
      <c r="D171" s="33" t="n">
        <v>0</v>
      </c>
      <c r="E171" s="33" t="n">
        <v>0</v>
      </c>
      <c r="F171" s="33" t="n">
        <v>0</v>
      </c>
      <c r="G171" s="33" t="n">
        <v>0</v>
      </c>
      <c r="H171" s="33" t="n">
        <v>4707</v>
      </c>
      <c r="I171" s="33" t="n">
        <v>0</v>
      </c>
      <c r="J171" s="33" t="n">
        <v>0</v>
      </c>
      <c r="K171" s="33" t="n">
        <v>0</v>
      </c>
      <c r="L171" s="33" t="n">
        <v>0</v>
      </c>
      <c r="M171" s="12" t="n">
        <f aca="false">SUM(D171:L171)</f>
        <v>4707</v>
      </c>
      <c r="N171" s="37" t="n">
        <f aca="false">AVERAGE($G171:$L171)</f>
        <v>784.5</v>
      </c>
      <c r="O171" s="37" t="n">
        <f aca="false">AVERAGE($G171:$L171)</f>
        <v>784.5</v>
      </c>
      <c r="P171" s="37" t="n">
        <f aca="false">AVERAGE($G171:$L171)</f>
        <v>784.5</v>
      </c>
      <c r="Q171" s="37" t="n">
        <f aca="false">SUM(N171:P171)</f>
        <v>2353.5</v>
      </c>
      <c r="R171" s="21" t="n">
        <f aca="false">M171+Q171</f>
        <v>7060.5</v>
      </c>
      <c r="T171" s="12" t="str">
        <f aca="false">IF(S171="","",R171-S171)</f>
        <v/>
      </c>
      <c r="U171" s="13" t="str">
        <f aca="false">IF(S171="","",IF(S171=0,"",T171/S171))</f>
        <v/>
      </c>
      <c r="X171" s="9" t="s">
        <v>248</v>
      </c>
      <c r="Y171" s="3" t="s">
        <v>249</v>
      </c>
    </row>
    <row r="172" customFormat="false" ht="15" hidden="false" customHeight="false" outlineLevel="0" collapsed="false">
      <c r="A172" s="9" t="s">
        <v>296</v>
      </c>
      <c r="B172" s="9" t="s">
        <v>291</v>
      </c>
      <c r="C172" s="9" t="s">
        <v>221</v>
      </c>
      <c r="D172" s="33" t="n">
        <v>0</v>
      </c>
      <c r="E172" s="33" t="n">
        <v>2961</v>
      </c>
      <c r="F172" s="33" t="n">
        <v>3138</v>
      </c>
      <c r="G172" s="33" t="n">
        <v>0</v>
      </c>
      <c r="H172" s="33" t="n">
        <v>0</v>
      </c>
      <c r="I172" s="33" t="n">
        <v>0</v>
      </c>
      <c r="J172" s="33" t="n">
        <v>0</v>
      </c>
      <c r="K172" s="33" t="n">
        <v>0</v>
      </c>
      <c r="L172" s="33" t="n">
        <v>0</v>
      </c>
      <c r="M172" s="12" t="n">
        <f aca="false">SUM(D172:L172)</f>
        <v>6099</v>
      </c>
      <c r="N172" s="37" t="n">
        <f aca="false">0</f>
        <v>0</v>
      </c>
      <c r="O172" s="37" t="n">
        <f aca="false">0</f>
        <v>0</v>
      </c>
      <c r="P172" s="37" t="n">
        <f aca="false">0</f>
        <v>0</v>
      </c>
      <c r="Q172" s="37" t="n">
        <f aca="false">SUM(N172:P172)</f>
        <v>0</v>
      </c>
      <c r="R172" s="21" t="n">
        <f aca="false">M172+Q172</f>
        <v>6099</v>
      </c>
      <c r="T172" s="12" t="str">
        <f aca="false">IF(S172="","",R172-S172)</f>
        <v/>
      </c>
      <c r="U172" s="13" t="str">
        <f aca="false">IF(S172="","",IF(S172=0,"",T172/S172))</f>
        <v/>
      </c>
      <c r="X172" s="9" t="s">
        <v>297</v>
      </c>
      <c r="Y172" s="3" t="s">
        <v>298</v>
      </c>
    </row>
    <row r="173" customFormat="false" ht="15" hidden="false" customHeight="false" outlineLevel="0" collapsed="false">
      <c r="A173" s="9" t="s">
        <v>326</v>
      </c>
      <c r="B173" s="9" t="s">
        <v>291</v>
      </c>
      <c r="C173" s="9" t="s">
        <v>221</v>
      </c>
      <c r="D173" s="33" t="n">
        <v>3805</v>
      </c>
      <c r="E173" s="33" t="n">
        <v>3804</v>
      </c>
      <c r="F173" s="33" t="n">
        <v>3805</v>
      </c>
      <c r="G173" s="33" t="n">
        <v>3805</v>
      </c>
      <c r="H173" s="33" t="n">
        <v>3805</v>
      </c>
      <c r="I173" s="33" t="n">
        <v>3805</v>
      </c>
      <c r="J173" s="33" t="n">
        <v>3805</v>
      </c>
      <c r="K173" s="33" t="n">
        <v>3805</v>
      </c>
      <c r="L173" s="33" t="n">
        <v>3805</v>
      </c>
      <c r="M173" s="12" t="n">
        <f aca="false">SUM(D173:L173)</f>
        <v>34244</v>
      </c>
      <c r="N173" s="37" t="n">
        <f aca="false">AVERAGE($J173:$L173)</f>
        <v>3805</v>
      </c>
      <c r="O173" s="37" t="n">
        <f aca="false">AVERAGE($J173:$L173)</f>
        <v>3805</v>
      </c>
      <c r="P173" s="37" t="n">
        <f aca="false">AVERAGE($J173:$L173)</f>
        <v>3805</v>
      </c>
      <c r="Q173" s="37" t="n">
        <f aca="false">SUM(N173:P173)</f>
        <v>11415</v>
      </c>
      <c r="R173" s="21" t="n">
        <f aca="false">M173+Q173</f>
        <v>45659</v>
      </c>
      <c r="T173" s="12" t="str">
        <f aca="false">IF(S173="","",R173-S173)</f>
        <v/>
      </c>
      <c r="U173" s="13" t="str">
        <f aca="false">IF(S173="","",IF(S173=0,"",T173/S173))</f>
        <v/>
      </c>
      <c r="V173" s="33" t="n">
        <v>45660</v>
      </c>
      <c r="X173" s="9" t="s">
        <v>304</v>
      </c>
      <c r="Y173" s="3" t="s">
        <v>305</v>
      </c>
    </row>
    <row r="174" customFormat="false" ht="15" hidden="false" customHeight="false" outlineLevel="0" collapsed="false">
      <c r="A174" s="9" t="s">
        <v>327</v>
      </c>
      <c r="B174" s="9" t="s">
        <v>291</v>
      </c>
      <c r="C174" s="9" t="s">
        <v>221</v>
      </c>
      <c r="D174" s="33" t="n">
        <v>3752</v>
      </c>
      <c r="E174" s="33" t="n">
        <v>3752</v>
      </c>
      <c r="F174" s="33" t="n">
        <v>4376</v>
      </c>
      <c r="G174" s="33" t="n">
        <v>5000</v>
      </c>
      <c r="H174" s="33" t="n">
        <v>5000</v>
      </c>
      <c r="I174" s="33" t="n">
        <v>5000</v>
      </c>
      <c r="J174" s="33" t="n">
        <v>5000</v>
      </c>
      <c r="K174" s="33" t="n">
        <v>5000</v>
      </c>
      <c r="L174" s="33" t="n">
        <v>5000</v>
      </c>
      <c r="M174" s="12" t="n">
        <f aca="false">SUM(D174:L174)</f>
        <v>41880</v>
      </c>
      <c r="N174" s="37" t="n">
        <f aca="false">AVERAGE($J174:$L174)</f>
        <v>5000</v>
      </c>
      <c r="O174" s="37" t="n">
        <f aca="false">AVERAGE($J174:$L174)</f>
        <v>5000</v>
      </c>
      <c r="P174" s="37" t="n">
        <f aca="false">AVERAGE($J174:$L174)</f>
        <v>5000</v>
      </c>
      <c r="Q174" s="37" t="n">
        <f aca="false">SUM(N174:P174)</f>
        <v>15000</v>
      </c>
      <c r="R174" s="21" t="n">
        <f aca="false">M174+Q174</f>
        <v>56880</v>
      </c>
      <c r="T174" s="12" t="str">
        <f aca="false">IF(S174="","",R174-S174)</f>
        <v/>
      </c>
      <c r="U174" s="13" t="str">
        <f aca="false">IF(S174="","",IF(S174=0,"",T174/S174))</f>
        <v/>
      </c>
      <c r="V174" s="33" t="n">
        <v>44799</v>
      </c>
      <c r="X174" s="9" t="s">
        <v>304</v>
      </c>
      <c r="Y174" s="3" t="s">
        <v>305</v>
      </c>
    </row>
    <row r="175" customFormat="false" ht="15" hidden="false" customHeight="false" outlineLevel="0" collapsed="false">
      <c r="A175" s="9" t="s">
        <v>308</v>
      </c>
      <c r="B175" s="9" t="s">
        <v>291</v>
      </c>
      <c r="C175" s="9" t="s">
        <v>221</v>
      </c>
      <c r="D175" s="33" t="n">
        <v>0</v>
      </c>
      <c r="E175" s="33" t="n">
        <v>0</v>
      </c>
      <c r="F175" s="33" t="n">
        <v>0</v>
      </c>
      <c r="G175" s="33" t="n">
        <v>0</v>
      </c>
      <c r="H175" s="33" t="n">
        <v>31382</v>
      </c>
      <c r="I175" s="33" t="n">
        <v>0</v>
      </c>
      <c r="J175" s="33" t="n">
        <v>0</v>
      </c>
      <c r="K175" s="33" t="n">
        <v>0</v>
      </c>
      <c r="L175" s="33" t="n">
        <v>0</v>
      </c>
      <c r="M175" s="12" t="n">
        <f aca="false">SUM(D175:L175)</f>
        <v>31382</v>
      </c>
      <c r="N175" s="37" t="n">
        <f aca="false">0</f>
        <v>0</v>
      </c>
      <c r="O175" s="37" t="n">
        <f aca="false">0</f>
        <v>0</v>
      </c>
      <c r="P175" s="37" t="n">
        <f aca="false">0</f>
        <v>0</v>
      </c>
      <c r="Q175" s="37" t="n">
        <f aca="false">SUM(N175:P175)</f>
        <v>0</v>
      </c>
      <c r="R175" s="21" t="n">
        <f aca="false">M175+Q175</f>
        <v>31382</v>
      </c>
      <c r="T175" s="12" t="str">
        <f aca="false">IF(S175="","",R175-S175)</f>
        <v/>
      </c>
      <c r="U175" s="13" t="str">
        <f aca="false">IF(S175="","",IF(S175=0,"",T175/S175))</f>
        <v/>
      </c>
      <c r="V175" s="33" t="n">
        <v>4692</v>
      </c>
      <c r="X175" s="9" t="s">
        <v>297</v>
      </c>
      <c r="Y175" s="3" t="s">
        <v>298</v>
      </c>
    </row>
    <row r="176" customFormat="false" ht="15" hidden="false" customHeight="false" outlineLevel="0" collapsed="false">
      <c r="A176" s="9" t="s">
        <v>309</v>
      </c>
      <c r="B176" s="9" t="s">
        <v>291</v>
      </c>
      <c r="C176" s="9" t="s">
        <v>221</v>
      </c>
      <c r="D176" s="33" t="n">
        <v>4169</v>
      </c>
      <c r="E176" s="33" t="n">
        <v>3773</v>
      </c>
      <c r="F176" s="33" t="n">
        <v>3907</v>
      </c>
      <c r="G176" s="33" t="n">
        <v>3887</v>
      </c>
      <c r="H176" s="33" t="n">
        <v>2703</v>
      </c>
      <c r="I176" s="33" t="n">
        <v>4541</v>
      </c>
      <c r="J176" s="33" t="n">
        <v>4912</v>
      </c>
      <c r="K176" s="33" t="n">
        <v>4591</v>
      </c>
      <c r="L176" s="33" t="n">
        <v>4834</v>
      </c>
      <c r="M176" s="12" t="n">
        <f aca="false">SUM(D176:L176)</f>
        <v>37317</v>
      </c>
      <c r="N176" s="37" t="n">
        <f aca="false">AVERAGE($J176:$L176)</f>
        <v>4779</v>
      </c>
      <c r="O176" s="37" t="n">
        <f aca="false">AVERAGE($J176:$L176)</f>
        <v>4779</v>
      </c>
      <c r="P176" s="37" t="n">
        <f aca="false">AVERAGE($J176:$L176)</f>
        <v>4779</v>
      </c>
      <c r="Q176" s="37" t="n">
        <f aca="false">SUM(N176:P176)</f>
        <v>14337</v>
      </c>
      <c r="R176" s="21" t="n">
        <f aca="false">M176+Q176</f>
        <v>51654</v>
      </c>
      <c r="T176" s="12" t="str">
        <f aca="false">IF(S176="","",R176-S176)</f>
        <v/>
      </c>
      <c r="U176" s="13" t="str">
        <f aca="false">IF(S176="","",IF(S176=0,"",T176/S176))</f>
        <v/>
      </c>
      <c r="V176" s="33" t="n">
        <v>43946</v>
      </c>
      <c r="X176" s="9" t="s">
        <v>304</v>
      </c>
      <c r="Y176" s="3" t="s">
        <v>305</v>
      </c>
    </row>
    <row r="177" customFormat="false" ht="15" hidden="false" customHeight="false" outlineLevel="0" collapsed="false">
      <c r="A177" s="9" t="s">
        <v>310</v>
      </c>
      <c r="B177" s="9" t="s">
        <v>291</v>
      </c>
      <c r="C177" s="9" t="s">
        <v>221</v>
      </c>
      <c r="D177" s="33" t="n">
        <v>0</v>
      </c>
      <c r="E177" s="33" t="n">
        <v>8393</v>
      </c>
      <c r="F177" s="33" t="n">
        <v>0</v>
      </c>
      <c r="G177" s="33" t="n">
        <v>8130</v>
      </c>
      <c r="H177" s="33" t="n">
        <v>0</v>
      </c>
      <c r="I177" s="33" t="n">
        <v>9712</v>
      </c>
      <c r="J177" s="33" t="n">
        <v>0</v>
      </c>
      <c r="K177" s="33" t="n">
        <v>9464</v>
      </c>
      <c r="L177" s="33" t="n">
        <v>0</v>
      </c>
      <c r="M177" s="12" t="n">
        <f aca="false">SUM(D177:L177)</f>
        <v>35699</v>
      </c>
      <c r="N177" s="37" t="n">
        <f aca="false">$K177</f>
        <v>9464</v>
      </c>
      <c r="O177" s="37" t="n">
        <f aca="false">0</f>
        <v>0</v>
      </c>
      <c r="P177" s="37" t="n">
        <f aca="false">$K177</f>
        <v>9464</v>
      </c>
      <c r="Q177" s="37" t="n">
        <f aca="false">SUM(N177:P177)</f>
        <v>18928</v>
      </c>
      <c r="R177" s="21" t="n">
        <f aca="false">M177+Q177</f>
        <v>54627</v>
      </c>
      <c r="T177" s="12" t="str">
        <f aca="false">IF(S177="","",R177-S177)</f>
        <v/>
      </c>
      <c r="U177" s="13" t="str">
        <f aca="false">IF(S177="","",IF(S177=0,"",T177/S177))</f>
        <v/>
      </c>
      <c r="V177" s="33" t="n">
        <v>41897</v>
      </c>
      <c r="X177" s="9" t="s">
        <v>311</v>
      </c>
      <c r="Y177" s="3" t="s">
        <v>312</v>
      </c>
    </row>
    <row r="178" customFormat="false" ht="15" hidden="false" customHeight="false" outlineLevel="0" collapsed="false">
      <c r="A178" s="9" t="s">
        <v>313</v>
      </c>
      <c r="B178" s="9" t="s">
        <v>291</v>
      </c>
      <c r="C178" s="9" t="s">
        <v>221</v>
      </c>
      <c r="D178" s="33" t="n">
        <v>0</v>
      </c>
      <c r="E178" s="33" t="n">
        <v>2069</v>
      </c>
      <c r="F178" s="33" t="n">
        <v>0</v>
      </c>
      <c r="G178" s="33" t="n">
        <v>2023</v>
      </c>
      <c r="H178" s="33" t="n">
        <v>0</v>
      </c>
      <c r="I178" s="33" t="n">
        <v>2364</v>
      </c>
      <c r="J178" s="33" t="n">
        <v>0</v>
      </c>
      <c r="K178" s="33" t="n">
        <v>2285</v>
      </c>
      <c r="L178" s="33" t="n">
        <v>0</v>
      </c>
      <c r="M178" s="12" t="n">
        <f aca="false">SUM(D178:L178)</f>
        <v>8741</v>
      </c>
      <c r="N178" s="37" t="n">
        <f aca="false">$K178</f>
        <v>2285</v>
      </c>
      <c r="O178" s="37" t="n">
        <f aca="false">0</f>
        <v>0</v>
      </c>
      <c r="P178" s="37" t="n">
        <f aca="false">$K178</f>
        <v>2285</v>
      </c>
      <c r="Q178" s="37" t="n">
        <f aca="false">SUM(N178:P178)</f>
        <v>4570</v>
      </c>
      <c r="R178" s="21" t="n">
        <f aca="false">M178+Q178</f>
        <v>13311</v>
      </c>
      <c r="T178" s="12" t="str">
        <f aca="false">IF(S178="","",R178-S178)</f>
        <v/>
      </c>
      <c r="U178" s="13" t="str">
        <f aca="false">IF(S178="","",IF(S178=0,"",T178/S178))</f>
        <v/>
      </c>
      <c r="V178" s="33" t="n">
        <v>11612</v>
      </c>
      <c r="X178" s="9" t="s">
        <v>311</v>
      </c>
      <c r="Y178" s="3" t="s">
        <v>312</v>
      </c>
    </row>
    <row r="179" customFormat="false" ht="15" hidden="false" customHeight="false" outlineLevel="0" collapsed="false">
      <c r="A179" s="9" t="s">
        <v>314</v>
      </c>
      <c r="B179" s="9" t="s">
        <v>291</v>
      </c>
      <c r="C179" s="9" t="s">
        <v>221</v>
      </c>
      <c r="D179" s="33" t="n">
        <v>0</v>
      </c>
      <c r="E179" s="33" t="n">
        <v>5172</v>
      </c>
      <c r="F179" s="33" t="n">
        <v>0</v>
      </c>
      <c r="G179" s="33" t="n">
        <v>5057</v>
      </c>
      <c r="H179" s="33" t="n">
        <v>0</v>
      </c>
      <c r="I179" s="33" t="n">
        <v>5909</v>
      </c>
      <c r="J179" s="33" t="n">
        <v>0</v>
      </c>
      <c r="K179" s="33" t="n">
        <v>5714</v>
      </c>
      <c r="L179" s="33" t="n">
        <v>0</v>
      </c>
      <c r="M179" s="12" t="n">
        <f aca="false">SUM(D179:L179)</f>
        <v>21852</v>
      </c>
      <c r="N179" s="37" t="n">
        <f aca="false">$K179</f>
        <v>5714</v>
      </c>
      <c r="O179" s="37" t="n">
        <f aca="false">0</f>
        <v>0</v>
      </c>
      <c r="P179" s="37" t="n">
        <f aca="false">$K179</f>
        <v>5714</v>
      </c>
      <c r="Q179" s="37" t="n">
        <f aca="false">SUM(N179:P179)</f>
        <v>11428</v>
      </c>
      <c r="R179" s="21" t="n">
        <f aca="false">M179+Q179</f>
        <v>33280</v>
      </c>
      <c r="T179" s="12" t="str">
        <f aca="false">IF(S179="","",R179-S179)</f>
        <v/>
      </c>
      <c r="U179" s="13" t="str">
        <f aca="false">IF(S179="","",IF(S179=0,"",T179/S179))</f>
        <v/>
      </c>
      <c r="V179" s="33" t="n">
        <v>29030</v>
      </c>
      <c r="X179" s="9" t="s">
        <v>311</v>
      </c>
      <c r="Y179" s="3" t="s">
        <v>312</v>
      </c>
    </row>
    <row r="180" customFormat="false" ht="15" hidden="false" customHeight="false" outlineLevel="0" collapsed="false">
      <c r="A180" s="9" t="s">
        <v>300</v>
      </c>
      <c r="B180" s="9" t="s">
        <v>291</v>
      </c>
      <c r="C180" s="9" t="s">
        <v>221</v>
      </c>
      <c r="D180" s="33" t="n">
        <v>0</v>
      </c>
      <c r="E180" s="33" t="n">
        <v>0</v>
      </c>
      <c r="F180" s="33" t="n">
        <v>0</v>
      </c>
      <c r="G180" s="33" t="n">
        <v>0</v>
      </c>
      <c r="H180" s="33" t="n">
        <v>0</v>
      </c>
      <c r="I180" s="33" t="n">
        <v>0</v>
      </c>
      <c r="J180" s="33" t="n">
        <v>0</v>
      </c>
      <c r="K180" s="33" t="n">
        <v>0</v>
      </c>
      <c r="L180" s="33" t="n">
        <v>0</v>
      </c>
      <c r="M180" s="12" t="n">
        <f aca="false">SUM(D180:L180)</f>
        <v>0</v>
      </c>
      <c r="N180" s="11" t="n">
        <f aca="false">0</f>
        <v>0</v>
      </c>
      <c r="O180" s="11" t="n">
        <f aca="false">0</f>
        <v>0</v>
      </c>
      <c r="P180" s="11" t="n">
        <f aca="false">(AVERAGE($J169:$L169)+AVERAGE($J170:$L170))/Supuestos!$C$11*Supuestos!$C$13</f>
        <v>47103.9473684211</v>
      </c>
      <c r="Q180" s="37" t="n">
        <f aca="false">SUM(N180:P180)</f>
        <v>47103.9473684211</v>
      </c>
      <c r="R180" s="21" t="n">
        <f aca="false">M180+Q180</f>
        <v>47103.9473684211</v>
      </c>
      <c r="T180" s="12" t="str">
        <f aca="false">IF(S180="","",R180-S180)</f>
        <v/>
      </c>
      <c r="U180" s="13" t="str">
        <f aca="false">IF(S180="","",IF(S180=0,"",T180/S180))</f>
        <v/>
      </c>
      <c r="V180" s="33" t="n">
        <v>44408</v>
      </c>
      <c r="X180" s="9" t="s">
        <v>346</v>
      </c>
      <c r="Y180" s="3" t="s">
        <v>347</v>
      </c>
    </row>
    <row r="181" customFormat="false" ht="15" hidden="false" customHeight="false" outlineLevel="0" collapsed="false">
      <c r="A181" s="9" t="s">
        <v>315</v>
      </c>
      <c r="B181" s="9" t="s">
        <v>291</v>
      </c>
      <c r="C181" s="9" t="s">
        <v>221</v>
      </c>
      <c r="D181" s="33" t="n">
        <v>2112</v>
      </c>
      <c r="E181" s="33" t="n">
        <v>4679</v>
      </c>
      <c r="F181" s="33" t="n">
        <v>2066</v>
      </c>
      <c r="G181" s="33" t="n">
        <v>2308</v>
      </c>
      <c r="H181" s="33" t="n">
        <v>2092</v>
      </c>
      <c r="I181" s="33" t="n">
        <v>3192</v>
      </c>
      <c r="J181" s="33" t="n">
        <v>2414</v>
      </c>
      <c r="K181" s="33" t="n">
        <v>2203</v>
      </c>
      <c r="L181" s="33" t="n">
        <v>2386</v>
      </c>
      <c r="M181" s="12" t="n">
        <f aca="false">SUM(D181:L181)</f>
        <v>23452</v>
      </c>
      <c r="N181" s="11" t="n">
        <f aca="false">AVERAGE($J181:$L181)</f>
        <v>2334.33333333333</v>
      </c>
      <c r="O181" s="11" t="n">
        <f aca="false">AVERAGE($J181:$L181)</f>
        <v>2334.33333333333</v>
      </c>
      <c r="P181" s="11" t="n">
        <f aca="false">AVERAGE($J181:$L181)+Supuestos!$C$10*$P180</f>
        <v>3747.45175438596</v>
      </c>
      <c r="Q181" s="37" t="n">
        <f aca="false">SUM(N181:P181)</f>
        <v>8416.11842105263</v>
      </c>
      <c r="R181" s="21" t="n">
        <f aca="false">M181+Q181</f>
        <v>31868.1184210526</v>
      </c>
      <c r="T181" s="12" t="str">
        <f aca="false">IF(S181="","",R181-S181)</f>
        <v/>
      </c>
      <c r="U181" s="13" t="str">
        <f aca="false">IF(S181="","",IF(S181=0,"",T181/S181))</f>
        <v/>
      </c>
      <c r="V181" s="33" t="n">
        <v>25340</v>
      </c>
      <c r="X181" s="9" t="s">
        <v>316</v>
      </c>
      <c r="Y181" s="3" t="s">
        <v>317</v>
      </c>
    </row>
    <row r="182" customFormat="false" ht="15" hidden="false" customHeight="false" outlineLevel="0" collapsed="false">
      <c r="A182" s="3" t="s">
        <v>274</v>
      </c>
      <c r="V182" s="33" t="n">
        <v>2956</v>
      </c>
      <c r="X182" s="3" t="s">
        <v>275</v>
      </c>
      <c r="Y182" s="3" t="s">
        <v>276</v>
      </c>
    </row>
    <row r="183" customFormat="false" ht="15" hidden="false" customHeight="false" outlineLevel="0" collapsed="false">
      <c r="A183" s="40" t="s">
        <v>356</v>
      </c>
      <c r="B183" s="41"/>
      <c r="C183" s="41"/>
      <c r="D183" s="42" t="n">
        <f aca="false">SUM(D169:D182)</f>
        <v>58868</v>
      </c>
      <c r="E183" s="42" t="n">
        <f aca="false">SUM(E169:E182)</f>
        <v>79618</v>
      </c>
      <c r="F183" s="42" t="n">
        <f aca="false">SUM(F169:F182)</f>
        <v>68584</v>
      </c>
      <c r="G183" s="42" t="n">
        <f aca="false">SUM(G169:G182)</f>
        <v>77942</v>
      </c>
      <c r="H183" s="42" t="n">
        <f aca="false">SUM(H169:H182)</f>
        <v>97421</v>
      </c>
      <c r="I183" s="42" t="n">
        <f aca="false">SUM(I169:I182)</f>
        <v>82255</v>
      </c>
      <c r="J183" s="42" t="n">
        <f aca="false">SUM(J169:J182)</f>
        <v>63863</v>
      </c>
      <c r="K183" s="42" t="n">
        <f aca="false">SUM(K169:K182)</f>
        <v>80794</v>
      </c>
      <c r="L183" s="42" t="n">
        <f aca="false">SUM(L169:L182)</f>
        <v>63757</v>
      </c>
      <c r="M183" s="42" t="n">
        <f aca="false">SUM(M169:M182)</f>
        <v>673102</v>
      </c>
      <c r="N183" s="42" t="n">
        <f aca="false">SUM(N169:N182)</f>
        <v>85036</v>
      </c>
      <c r="O183" s="42" t="n">
        <f aca="false">SUM(O169:O182)</f>
        <v>67573</v>
      </c>
      <c r="P183" s="42" t="n">
        <f aca="false">SUM(P169:P182)</f>
        <v>133553.065789474</v>
      </c>
      <c r="Q183" s="42" t="n">
        <f aca="false">SUM(Q169:Q182)</f>
        <v>286162.065789474</v>
      </c>
      <c r="R183" s="42" t="n">
        <f aca="false">SUM(R169:R182)</f>
        <v>959264.065789474</v>
      </c>
      <c r="S183" s="42" t="n">
        <f aca="false">IF(COUNTIF('Presupuesto 2026'!$B:$B,$A183)=0,"",SUMIF('Presupuesto 2026'!$B:$B,$A183,'Presupuesto 2026'!$D:$D))</f>
        <v>930200.88</v>
      </c>
      <c r="T183" s="42" t="n">
        <f aca="false">IF(S183="","",R183-S183)</f>
        <v>29063.1857894736</v>
      </c>
      <c r="U183" s="43" t="n">
        <f aca="false">IF(S183="","",IF(S183=0,"",T183/S183))</f>
        <v>0.0312439887064755</v>
      </c>
      <c r="V183" s="42" t="n">
        <f aca="false">SUM(V169:V182)</f>
        <v>834700</v>
      </c>
      <c r="W183" s="41"/>
      <c r="X183" s="41"/>
      <c r="Y183" s="41"/>
    </row>
    <row r="185" customFormat="false" ht="15" hidden="false" customHeight="false" outlineLevel="0" collapsed="false">
      <c r="A185" s="6" t="s">
        <v>357</v>
      </c>
      <c r="B185" s="7" t="s">
        <v>358</v>
      </c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</row>
    <row r="186" customFormat="false" ht="15" hidden="false" customHeight="false" outlineLevel="0" collapsed="false">
      <c r="A186" s="9" t="s">
        <v>290</v>
      </c>
      <c r="B186" s="9" t="s">
        <v>291</v>
      </c>
      <c r="C186" s="9" t="s">
        <v>221</v>
      </c>
      <c r="D186" s="33" t="n">
        <v>45030</v>
      </c>
      <c r="E186" s="33" t="n">
        <v>45015</v>
      </c>
      <c r="F186" s="33" t="n">
        <v>51296</v>
      </c>
      <c r="G186" s="33" t="n">
        <v>47732</v>
      </c>
      <c r="H186" s="33" t="n">
        <v>47732</v>
      </c>
      <c r="I186" s="33" t="n">
        <v>47732</v>
      </c>
      <c r="J186" s="33" t="n">
        <v>47732</v>
      </c>
      <c r="K186" s="33" t="n">
        <v>47732</v>
      </c>
      <c r="L186" s="33" t="n">
        <v>47732</v>
      </c>
      <c r="M186" s="12" t="n">
        <f aca="false">SUM(D186:L186)</f>
        <v>427733</v>
      </c>
      <c r="N186" s="37" t="n">
        <f aca="false">AVERAGE($J186:$L186)</f>
        <v>47732</v>
      </c>
      <c r="O186" s="37" t="n">
        <f aca="false">AVERAGE($J186:$L186)</f>
        <v>47732</v>
      </c>
      <c r="P186" s="37" t="n">
        <f aca="false">AVERAGE($J186:$L186)</f>
        <v>47732</v>
      </c>
      <c r="Q186" s="37" t="n">
        <f aca="false">SUM(N186:P186)</f>
        <v>143196</v>
      </c>
      <c r="R186" s="21" t="n">
        <f aca="false">M186+Q186</f>
        <v>570929</v>
      </c>
      <c r="T186" s="12" t="str">
        <f aca="false">IF(S186="","",R186-S186)</f>
        <v/>
      </c>
      <c r="U186" s="13" t="str">
        <f aca="false">IF(S186="","",IF(S186=0,"",T186/S186))</f>
        <v/>
      </c>
      <c r="V186" s="33" t="n">
        <v>520343</v>
      </c>
      <c r="X186" s="9" t="s">
        <v>292</v>
      </c>
      <c r="Y186" s="3" t="s">
        <v>293</v>
      </c>
    </row>
    <row r="187" customFormat="false" ht="15" hidden="false" customHeight="false" outlineLevel="0" collapsed="false">
      <c r="A187" s="9" t="s">
        <v>295</v>
      </c>
      <c r="B187" s="9" t="s">
        <v>291</v>
      </c>
      <c r="C187" s="9" t="s">
        <v>221</v>
      </c>
      <c r="D187" s="33" t="n">
        <v>0</v>
      </c>
      <c r="E187" s="33" t="n">
        <v>0</v>
      </c>
      <c r="F187" s="33" t="n">
        <v>0</v>
      </c>
      <c r="G187" s="33" t="n">
        <v>0</v>
      </c>
      <c r="H187" s="33" t="n">
        <v>0</v>
      </c>
      <c r="I187" s="33" t="n">
        <v>10199</v>
      </c>
      <c r="J187" s="33" t="n">
        <v>0</v>
      </c>
      <c r="K187" s="33" t="n">
        <v>0</v>
      </c>
      <c r="L187" s="33" t="n">
        <v>0</v>
      </c>
      <c r="M187" s="12" t="n">
        <f aca="false">SUM(D187:L187)</f>
        <v>10199</v>
      </c>
      <c r="N187" s="37" t="n">
        <f aca="false">AVERAGE($G187:$L187)</f>
        <v>1699.83333333333</v>
      </c>
      <c r="O187" s="37" t="n">
        <f aca="false">AVERAGE($G187:$L187)</f>
        <v>1699.83333333333</v>
      </c>
      <c r="P187" s="37" t="n">
        <f aca="false">AVERAGE($G187:$L187)</f>
        <v>1699.83333333333</v>
      </c>
      <c r="Q187" s="37" t="n">
        <f aca="false">SUM(N187:P187)</f>
        <v>5099.5</v>
      </c>
      <c r="R187" s="21" t="n">
        <f aca="false">M187+Q187</f>
        <v>15298.5</v>
      </c>
      <c r="T187" s="12" t="str">
        <f aca="false">IF(S187="","",R187-S187)</f>
        <v/>
      </c>
      <c r="U187" s="13" t="str">
        <f aca="false">IF(S187="","",IF(S187=0,"",T187/S187))</f>
        <v/>
      </c>
      <c r="V187" s="33" t="n">
        <v>8882</v>
      </c>
      <c r="X187" s="9" t="s">
        <v>248</v>
      </c>
      <c r="Y187" s="3" t="s">
        <v>249</v>
      </c>
    </row>
    <row r="188" customFormat="false" ht="15" hidden="false" customHeight="false" outlineLevel="0" collapsed="false">
      <c r="A188" s="9" t="s">
        <v>296</v>
      </c>
      <c r="B188" s="9" t="s">
        <v>291</v>
      </c>
      <c r="C188" s="9" t="s">
        <v>221</v>
      </c>
      <c r="D188" s="33" t="n">
        <v>0</v>
      </c>
      <c r="E188" s="33" t="n">
        <v>2961</v>
      </c>
      <c r="F188" s="33" t="n">
        <v>3138</v>
      </c>
      <c r="G188" s="33" t="n">
        <v>0</v>
      </c>
      <c r="H188" s="33" t="n">
        <v>0</v>
      </c>
      <c r="I188" s="33" t="n">
        <v>0</v>
      </c>
      <c r="J188" s="33" t="n">
        <v>0</v>
      </c>
      <c r="K188" s="33" t="n">
        <v>0</v>
      </c>
      <c r="L188" s="33" t="n">
        <v>0</v>
      </c>
      <c r="M188" s="12" t="n">
        <f aca="false">SUM(D188:L188)</f>
        <v>6099</v>
      </c>
      <c r="N188" s="37" t="n">
        <f aca="false">0</f>
        <v>0</v>
      </c>
      <c r="O188" s="37" t="n">
        <f aca="false">0</f>
        <v>0</v>
      </c>
      <c r="P188" s="37" t="n">
        <f aca="false">0</f>
        <v>0</v>
      </c>
      <c r="Q188" s="37" t="n">
        <f aca="false">SUM(N188:P188)</f>
        <v>0</v>
      </c>
      <c r="R188" s="21" t="n">
        <f aca="false">M188+Q188</f>
        <v>6099</v>
      </c>
      <c r="T188" s="12" t="str">
        <f aca="false">IF(S188="","",R188-S188)</f>
        <v/>
      </c>
      <c r="U188" s="13" t="str">
        <f aca="false">IF(S188="","",IF(S188=0,"",T188/S188))</f>
        <v/>
      </c>
      <c r="X188" s="9" t="s">
        <v>297</v>
      </c>
      <c r="Y188" s="3" t="s">
        <v>298</v>
      </c>
    </row>
    <row r="189" customFormat="false" ht="15" hidden="false" customHeight="false" outlineLevel="0" collapsed="false">
      <c r="A189" s="9" t="s">
        <v>306</v>
      </c>
      <c r="B189" s="9" t="s">
        <v>291</v>
      </c>
      <c r="C189" s="9" t="s">
        <v>221</v>
      </c>
      <c r="D189" s="33" t="n">
        <v>3805</v>
      </c>
      <c r="E189" s="33" t="n">
        <v>3804</v>
      </c>
      <c r="F189" s="33" t="n">
        <v>3805</v>
      </c>
      <c r="G189" s="33" t="n">
        <v>3805</v>
      </c>
      <c r="H189" s="33" t="n">
        <v>3805</v>
      </c>
      <c r="I189" s="33" t="n">
        <v>3805</v>
      </c>
      <c r="J189" s="33" t="n">
        <v>3805</v>
      </c>
      <c r="K189" s="33" t="n">
        <v>3805</v>
      </c>
      <c r="L189" s="33" t="n">
        <v>3805</v>
      </c>
      <c r="M189" s="12" t="n">
        <f aca="false">SUM(D189:L189)</f>
        <v>34244</v>
      </c>
      <c r="N189" s="37" t="n">
        <f aca="false">AVERAGE($J189:$L189)</f>
        <v>3805</v>
      </c>
      <c r="O189" s="37" t="n">
        <f aca="false">AVERAGE($J189:$L189)</f>
        <v>3805</v>
      </c>
      <c r="P189" s="37" t="n">
        <f aca="false">AVERAGE($J189:$L189)</f>
        <v>3805</v>
      </c>
      <c r="Q189" s="37" t="n">
        <f aca="false">SUM(N189:P189)</f>
        <v>11415</v>
      </c>
      <c r="R189" s="21" t="n">
        <f aca="false">M189+Q189</f>
        <v>45659</v>
      </c>
      <c r="T189" s="12" t="str">
        <f aca="false">IF(S189="","",R189-S189)</f>
        <v/>
      </c>
      <c r="U189" s="13" t="str">
        <f aca="false">IF(S189="","",IF(S189=0,"",T189/S189))</f>
        <v/>
      </c>
      <c r="V189" s="33" t="n">
        <v>45107</v>
      </c>
      <c r="X189" s="9" t="s">
        <v>304</v>
      </c>
      <c r="Y189" s="3" t="s">
        <v>305</v>
      </c>
    </row>
    <row r="190" customFormat="false" ht="15" hidden="false" customHeight="false" outlineLevel="0" collapsed="false">
      <c r="A190" s="9" t="s">
        <v>307</v>
      </c>
      <c r="B190" s="9" t="s">
        <v>291</v>
      </c>
      <c r="C190" s="9" t="s">
        <v>221</v>
      </c>
      <c r="D190" s="33" t="n">
        <v>3752</v>
      </c>
      <c r="E190" s="33" t="n">
        <v>3752</v>
      </c>
      <c r="F190" s="33" t="n">
        <v>4376</v>
      </c>
      <c r="G190" s="33" t="n">
        <v>5000</v>
      </c>
      <c r="H190" s="33" t="n">
        <v>5000</v>
      </c>
      <c r="I190" s="33" t="n">
        <v>5000</v>
      </c>
      <c r="J190" s="33" t="n">
        <v>5000</v>
      </c>
      <c r="K190" s="33" t="n">
        <v>5000</v>
      </c>
      <c r="L190" s="33" t="n">
        <v>5000</v>
      </c>
      <c r="M190" s="12" t="n">
        <f aca="false">SUM(D190:L190)</f>
        <v>41880</v>
      </c>
      <c r="N190" s="37" t="n">
        <f aca="false">AVERAGE($J190:$L190)</f>
        <v>5000</v>
      </c>
      <c r="O190" s="37" t="n">
        <f aca="false">AVERAGE($J190:$L190)</f>
        <v>5000</v>
      </c>
      <c r="P190" s="37" t="n">
        <f aca="false">AVERAGE($J190:$L190)</f>
        <v>5000</v>
      </c>
      <c r="Q190" s="37" t="n">
        <f aca="false">SUM(N190:P190)</f>
        <v>15000</v>
      </c>
      <c r="R190" s="21" t="n">
        <f aca="false">M190+Q190</f>
        <v>56880</v>
      </c>
      <c r="T190" s="12" t="str">
        <f aca="false">IF(S190="","",R190-S190)</f>
        <v/>
      </c>
      <c r="U190" s="13" t="str">
        <f aca="false">IF(S190="","",IF(S190=0,"",T190/S190))</f>
        <v/>
      </c>
      <c r="V190" s="33" t="n">
        <v>45624</v>
      </c>
      <c r="X190" s="9" t="s">
        <v>304</v>
      </c>
      <c r="Y190" s="3" t="s">
        <v>305</v>
      </c>
    </row>
    <row r="191" customFormat="false" ht="15" hidden="false" customHeight="false" outlineLevel="0" collapsed="false">
      <c r="A191" s="9" t="s">
        <v>308</v>
      </c>
      <c r="B191" s="9" t="s">
        <v>291</v>
      </c>
      <c r="C191" s="9" t="s">
        <v>221</v>
      </c>
      <c r="D191" s="33" t="n">
        <v>0</v>
      </c>
      <c r="E191" s="33" t="n">
        <v>0</v>
      </c>
      <c r="F191" s="33" t="n">
        <v>0</v>
      </c>
      <c r="G191" s="33" t="n">
        <v>0</v>
      </c>
      <c r="H191" s="33" t="n">
        <v>31382</v>
      </c>
      <c r="I191" s="33" t="n">
        <v>0</v>
      </c>
      <c r="J191" s="33" t="n">
        <v>0</v>
      </c>
      <c r="K191" s="33" t="n">
        <v>0</v>
      </c>
      <c r="L191" s="33" t="n">
        <v>0</v>
      </c>
      <c r="M191" s="12" t="n">
        <f aca="false">SUM(D191:L191)</f>
        <v>31382</v>
      </c>
      <c r="N191" s="37" t="n">
        <f aca="false">0</f>
        <v>0</v>
      </c>
      <c r="O191" s="37" t="n">
        <f aca="false">0</f>
        <v>0</v>
      </c>
      <c r="P191" s="37" t="n">
        <f aca="false">0</f>
        <v>0</v>
      </c>
      <c r="Q191" s="37" t="n">
        <f aca="false">SUM(N191:P191)</f>
        <v>0</v>
      </c>
      <c r="R191" s="21" t="n">
        <f aca="false">M191+Q191</f>
        <v>31382</v>
      </c>
      <c r="T191" s="12" t="str">
        <f aca="false">IF(S191="","",R191-S191)</f>
        <v/>
      </c>
      <c r="U191" s="13" t="str">
        <f aca="false">IF(S191="","",IF(S191=0,"",T191/S191))</f>
        <v/>
      </c>
      <c r="V191" s="33" t="n">
        <v>29605</v>
      </c>
      <c r="X191" s="9" t="s">
        <v>297</v>
      </c>
      <c r="Y191" s="3" t="s">
        <v>298</v>
      </c>
    </row>
    <row r="192" customFormat="false" ht="15" hidden="false" customHeight="false" outlineLevel="0" collapsed="false">
      <c r="A192" s="9" t="s">
        <v>309</v>
      </c>
      <c r="B192" s="9" t="s">
        <v>291</v>
      </c>
      <c r="C192" s="9" t="s">
        <v>221</v>
      </c>
      <c r="D192" s="33" t="n">
        <v>4169</v>
      </c>
      <c r="E192" s="33" t="n">
        <v>3773</v>
      </c>
      <c r="F192" s="33" t="n">
        <v>3907</v>
      </c>
      <c r="G192" s="33" t="n">
        <v>3887</v>
      </c>
      <c r="H192" s="33" t="n">
        <v>4465</v>
      </c>
      <c r="I192" s="33" t="n">
        <v>4541</v>
      </c>
      <c r="J192" s="33" t="n">
        <v>4912</v>
      </c>
      <c r="K192" s="33" t="n">
        <v>4591</v>
      </c>
      <c r="L192" s="33" t="n">
        <v>4834</v>
      </c>
      <c r="M192" s="12" t="n">
        <f aca="false">SUM(D192:L192)</f>
        <v>39079</v>
      </c>
      <c r="N192" s="37" t="n">
        <f aca="false">AVERAGE($J192:$L192)</f>
        <v>4779</v>
      </c>
      <c r="O192" s="37" t="n">
        <f aca="false">AVERAGE($J192:$L192)</f>
        <v>4779</v>
      </c>
      <c r="P192" s="37" t="n">
        <f aca="false">AVERAGE($J192:$L192)</f>
        <v>4779</v>
      </c>
      <c r="Q192" s="37" t="n">
        <f aca="false">SUM(N192:P192)</f>
        <v>14337</v>
      </c>
      <c r="R192" s="21" t="n">
        <f aca="false">M192+Q192</f>
        <v>53416</v>
      </c>
      <c r="T192" s="12" t="str">
        <f aca="false">IF(S192="","",R192-S192)</f>
        <v/>
      </c>
      <c r="U192" s="13" t="str">
        <f aca="false">IF(S192="","",IF(S192=0,"",T192/S192))</f>
        <v/>
      </c>
      <c r="V192" s="33" t="n">
        <v>42171</v>
      </c>
      <c r="X192" s="9" t="s">
        <v>304</v>
      </c>
      <c r="Y192" s="3" t="s">
        <v>305</v>
      </c>
    </row>
    <row r="193" customFormat="false" ht="15" hidden="false" customHeight="false" outlineLevel="0" collapsed="false">
      <c r="A193" s="9" t="s">
        <v>310</v>
      </c>
      <c r="B193" s="9" t="s">
        <v>291</v>
      </c>
      <c r="C193" s="9" t="s">
        <v>221</v>
      </c>
      <c r="D193" s="33" t="n">
        <v>0</v>
      </c>
      <c r="E193" s="33" t="n">
        <v>8393</v>
      </c>
      <c r="F193" s="33" t="n">
        <v>0</v>
      </c>
      <c r="G193" s="33" t="n">
        <v>8130</v>
      </c>
      <c r="H193" s="33" t="n">
        <v>0</v>
      </c>
      <c r="I193" s="33" t="n">
        <v>9712</v>
      </c>
      <c r="J193" s="33" t="n">
        <v>0</v>
      </c>
      <c r="K193" s="33" t="n">
        <v>9464</v>
      </c>
      <c r="L193" s="33" t="n">
        <v>0</v>
      </c>
      <c r="M193" s="12" t="n">
        <f aca="false">SUM(D193:L193)</f>
        <v>35699</v>
      </c>
      <c r="N193" s="37" t="n">
        <f aca="false">$K193</f>
        <v>9464</v>
      </c>
      <c r="O193" s="37" t="n">
        <f aca="false">0</f>
        <v>0</v>
      </c>
      <c r="P193" s="37" t="n">
        <f aca="false">$K193</f>
        <v>9464</v>
      </c>
      <c r="Q193" s="37" t="n">
        <f aca="false">SUM(N193:P193)</f>
        <v>18928</v>
      </c>
      <c r="R193" s="21" t="n">
        <f aca="false">M193+Q193</f>
        <v>54627</v>
      </c>
      <c r="T193" s="12" t="str">
        <f aca="false">IF(S193="","",R193-S193)</f>
        <v/>
      </c>
      <c r="U193" s="13" t="str">
        <f aca="false">IF(S193="","",IF(S193=0,"",T193/S193))</f>
        <v/>
      </c>
      <c r="V193" s="33" t="n">
        <v>41402</v>
      </c>
      <c r="X193" s="9" t="s">
        <v>311</v>
      </c>
      <c r="Y193" s="3" t="s">
        <v>312</v>
      </c>
    </row>
    <row r="194" customFormat="false" ht="15" hidden="false" customHeight="false" outlineLevel="0" collapsed="false">
      <c r="A194" s="9" t="s">
        <v>313</v>
      </c>
      <c r="B194" s="9" t="s">
        <v>291</v>
      </c>
      <c r="C194" s="9" t="s">
        <v>221</v>
      </c>
      <c r="D194" s="33" t="n">
        <v>0</v>
      </c>
      <c r="E194" s="33" t="n">
        <v>2069</v>
      </c>
      <c r="F194" s="33" t="n">
        <v>0</v>
      </c>
      <c r="G194" s="33" t="n">
        <v>2023</v>
      </c>
      <c r="H194" s="33" t="n">
        <v>0</v>
      </c>
      <c r="I194" s="33" t="n">
        <v>2364</v>
      </c>
      <c r="J194" s="33" t="n">
        <v>0</v>
      </c>
      <c r="K194" s="33" t="n">
        <v>2285</v>
      </c>
      <c r="L194" s="33" t="n">
        <v>0</v>
      </c>
      <c r="M194" s="12" t="n">
        <f aca="false">SUM(D194:L194)</f>
        <v>8741</v>
      </c>
      <c r="N194" s="37" t="n">
        <f aca="false">$K194</f>
        <v>2285</v>
      </c>
      <c r="O194" s="37" t="n">
        <f aca="false">0</f>
        <v>0</v>
      </c>
      <c r="P194" s="37" t="n">
        <f aca="false">$K194</f>
        <v>2285</v>
      </c>
      <c r="Q194" s="37" t="n">
        <f aca="false">SUM(N194:P194)</f>
        <v>4570</v>
      </c>
      <c r="R194" s="21" t="n">
        <f aca="false">M194+Q194</f>
        <v>13311</v>
      </c>
      <c r="T194" s="12" t="str">
        <f aca="false">IF(S194="","",R194-S194)</f>
        <v/>
      </c>
      <c r="U194" s="13" t="str">
        <f aca="false">IF(S194="","",IF(S194=0,"",T194/S194))</f>
        <v/>
      </c>
      <c r="V194" s="33" t="n">
        <v>11475</v>
      </c>
      <c r="X194" s="9" t="s">
        <v>311</v>
      </c>
      <c r="Y194" s="3" t="s">
        <v>312</v>
      </c>
    </row>
    <row r="195" customFormat="false" ht="15" hidden="false" customHeight="false" outlineLevel="0" collapsed="false">
      <c r="A195" s="9" t="s">
        <v>314</v>
      </c>
      <c r="B195" s="9" t="s">
        <v>291</v>
      </c>
      <c r="C195" s="9" t="s">
        <v>221</v>
      </c>
      <c r="D195" s="33" t="n">
        <v>0</v>
      </c>
      <c r="E195" s="33" t="n">
        <v>5172</v>
      </c>
      <c r="F195" s="33" t="n">
        <v>0</v>
      </c>
      <c r="G195" s="33" t="n">
        <v>5057</v>
      </c>
      <c r="H195" s="33" t="n">
        <v>0</v>
      </c>
      <c r="I195" s="33" t="n">
        <v>5909</v>
      </c>
      <c r="J195" s="33" t="n">
        <v>0</v>
      </c>
      <c r="K195" s="33" t="n">
        <v>5714</v>
      </c>
      <c r="L195" s="33" t="n">
        <v>0</v>
      </c>
      <c r="M195" s="12" t="n">
        <f aca="false">SUM(D195:L195)</f>
        <v>21852</v>
      </c>
      <c r="N195" s="37" t="n">
        <f aca="false">$K195</f>
        <v>5714</v>
      </c>
      <c r="O195" s="37" t="n">
        <f aca="false">0</f>
        <v>0</v>
      </c>
      <c r="P195" s="37" t="n">
        <f aca="false">$K195</f>
        <v>5714</v>
      </c>
      <c r="Q195" s="37" t="n">
        <f aca="false">SUM(N195:P195)</f>
        <v>11428</v>
      </c>
      <c r="R195" s="21" t="n">
        <f aca="false">M195+Q195</f>
        <v>33280</v>
      </c>
      <c r="T195" s="12" t="str">
        <f aca="false">IF(S195="","",R195-S195)</f>
        <v/>
      </c>
      <c r="U195" s="13" t="str">
        <f aca="false">IF(S195="","",IF(S195=0,"",T195/S195))</f>
        <v/>
      </c>
      <c r="V195" s="33" t="n">
        <v>28688</v>
      </c>
      <c r="X195" s="9" t="s">
        <v>311</v>
      </c>
      <c r="Y195" s="3" t="s">
        <v>312</v>
      </c>
    </row>
    <row r="196" customFormat="false" ht="15" hidden="false" customHeight="false" outlineLevel="0" collapsed="false">
      <c r="A196" s="9" t="s">
        <v>300</v>
      </c>
      <c r="B196" s="9" t="s">
        <v>291</v>
      </c>
      <c r="C196" s="9" t="s">
        <v>221</v>
      </c>
      <c r="D196" s="33" t="n">
        <v>0</v>
      </c>
      <c r="E196" s="33" t="n">
        <v>0</v>
      </c>
      <c r="F196" s="33" t="n">
        <v>0</v>
      </c>
      <c r="G196" s="33" t="n">
        <v>0</v>
      </c>
      <c r="H196" s="33" t="n">
        <v>0</v>
      </c>
      <c r="I196" s="33" t="n">
        <v>0</v>
      </c>
      <c r="J196" s="33" t="n">
        <v>0</v>
      </c>
      <c r="K196" s="33" t="n">
        <v>0</v>
      </c>
      <c r="L196" s="33" t="n">
        <v>0</v>
      </c>
      <c r="M196" s="12" t="n">
        <f aca="false">SUM(D196:L196)</f>
        <v>0</v>
      </c>
      <c r="N196" s="11" t="n">
        <f aca="false">0</f>
        <v>0</v>
      </c>
      <c r="O196" s="11" t="n">
        <f aca="false">0</f>
        <v>0</v>
      </c>
      <c r="P196" s="11" t="n">
        <f aca="false">(AVERAGE($J186:$L186))/Supuestos!$C$11*Supuestos!$C$13</f>
        <v>47103.9473684211</v>
      </c>
      <c r="Q196" s="37" t="n">
        <f aca="false">SUM(N196:P196)</f>
        <v>47103.9473684211</v>
      </c>
      <c r="R196" s="21" t="n">
        <f aca="false">M196+Q196</f>
        <v>47103.9473684211</v>
      </c>
      <c r="T196" s="12" t="str">
        <f aca="false">IF(S196="","",R196-S196)</f>
        <v/>
      </c>
      <c r="U196" s="13" t="str">
        <f aca="false">IF(S196="","",IF(S196=0,"",T196/S196))</f>
        <v/>
      </c>
      <c r="V196" s="33" t="n">
        <v>44408</v>
      </c>
      <c r="X196" s="9" t="s">
        <v>346</v>
      </c>
      <c r="Y196" s="3" t="s">
        <v>347</v>
      </c>
    </row>
    <row r="197" customFormat="false" ht="15" hidden="false" customHeight="false" outlineLevel="0" collapsed="false">
      <c r="A197" s="9" t="s">
        <v>315</v>
      </c>
      <c r="B197" s="9" t="s">
        <v>291</v>
      </c>
      <c r="C197" s="9" t="s">
        <v>221</v>
      </c>
      <c r="D197" s="33" t="n">
        <v>2112</v>
      </c>
      <c r="E197" s="33" t="n">
        <v>4679</v>
      </c>
      <c r="F197" s="33" t="n">
        <v>2067</v>
      </c>
      <c r="G197" s="33" t="n">
        <v>2308</v>
      </c>
      <c r="H197" s="33" t="n">
        <v>3456</v>
      </c>
      <c r="I197" s="33" t="n">
        <v>3192</v>
      </c>
      <c r="J197" s="33" t="n">
        <v>2414</v>
      </c>
      <c r="K197" s="33" t="n">
        <v>2203</v>
      </c>
      <c r="L197" s="33" t="n">
        <v>2386</v>
      </c>
      <c r="M197" s="12" t="n">
        <f aca="false">SUM(D197:L197)</f>
        <v>24817</v>
      </c>
      <c r="N197" s="11" t="n">
        <f aca="false">AVERAGE($J197:$L197)</f>
        <v>2334.33333333333</v>
      </c>
      <c r="O197" s="11" t="n">
        <f aca="false">AVERAGE($J197:$L197)</f>
        <v>2334.33333333333</v>
      </c>
      <c r="P197" s="11" t="n">
        <f aca="false">AVERAGE($J197:$L197)+Supuestos!$C$10*$P196</f>
        <v>3747.45175438596</v>
      </c>
      <c r="Q197" s="37" t="n">
        <f aca="false">SUM(N197:P197)</f>
        <v>8416.11842105263</v>
      </c>
      <c r="R197" s="21" t="n">
        <f aca="false">M197+Q197</f>
        <v>33233.1184210526</v>
      </c>
      <c r="T197" s="12" t="str">
        <f aca="false">IF(S197="","",R197-S197)</f>
        <v/>
      </c>
      <c r="U197" s="13" t="str">
        <f aca="false">IF(S197="","",IF(S197=0,"",T197/S197))</f>
        <v/>
      </c>
      <c r="V197" s="33" t="n">
        <v>24351</v>
      </c>
      <c r="X197" s="9" t="s">
        <v>316</v>
      </c>
      <c r="Y197" s="3" t="s">
        <v>317</v>
      </c>
    </row>
    <row r="198" customFormat="false" ht="15" hidden="false" customHeight="false" outlineLevel="0" collapsed="false">
      <c r="A198" s="3" t="s">
        <v>274</v>
      </c>
      <c r="V198" s="33" t="n">
        <v>2955</v>
      </c>
      <c r="X198" s="3" t="s">
        <v>275</v>
      </c>
      <c r="Y198" s="3" t="s">
        <v>276</v>
      </c>
    </row>
    <row r="199" customFormat="false" ht="15" hidden="false" customHeight="false" outlineLevel="0" collapsed="false">
      <c r="A199" s="40" t="s">
        <v>359</v>
      </c>
      <c r="B199" s="41"/>
      <c r="C199" s="41"/>
      <c r="D199" s="42" t="n">
        <f aca="false">SUM(D186:D198)</f>
        <v>58868</v>
      </c>
      <c r="E199" s="42" t="n">
        <f aca="false">SUM(E186:E198)</f>
        <v>79618</v>
      </c>
      <c r="F199" s="42" t="n">
        <f aca="false">SUM(F186:F198)</f>
        <v>68589</v>
      </c>
      <c r="G199" s="42" t="n">
        <f aca="false">SUM(G186:G198)</f>
        <v>77942</v>
      </c>
      <c r="H199" s="42" t="n">
        <f aca="false">SUM(H186:H198)</f>
        <v>95840</v>
      </c>
      <c r="I199" s="42" t="n">
        <f aca="false">SUM(I186:I198)</f>
        <v>92454</v>
      </c>
      <c r="J199" s="42" t="n">
        <f aca="false">SUM(J186:J198)</f>
        <v>63863</v>
      </c>
      <c r="K199" s="42" t="n">
        <f aca="false">SUM(K186:K198)</f>
        <v>80794</v>
      </c>
      <c r="L199" s="42" t="n">
        <f aca="false">SUM(L186:L198)</f>
        <v>63757</v>
      </c>
      <c r="M199" s="42" t="n">
        <f aca="false">SUM(M186:M198)</f>
        <v>681725</v>
      </c>
      <c r="N199" s="42" t="n">
        <f aca="false">SUM(N186:N198)</f>
        <v>82813.1666666667</v>
      </c>
      <c r="O199" s="42" t="n">
        <f aca="false">SUM(O186:O198)</f>
        <v>65350.1666666667</v>
      </c>
      <c r="P199" s="42" t="n">
        <f aca="false">SUM(P186:P198)</f>
        <v>131330.23245614</v>
      </c>
      <c r="Q199" s="42" t="n">
        <f aca="false">SUM(Q186:Q198)</f>
        <v>279493.565789474</v>
      </c>
      <c r="R199" s="42" t="n">
        <f aca="false">SUM(R186:R198)</f>
        <v>961218.565789474</v>
      </c>
      <c r="S199" s="42" t="n">
        <f aca="false">IF(COUNTIF('Presupuesto 2026'!$B:$B,$A199)=0,"",SUMIF('Presupuesto 2026'!$B:$B,$A199,'Presupuesto 2026'!$D:$D))</f>
        <v>934908.14</v>
      </c>
      <c r="T199" s="42" t="n">
        <f aca="false">IF(S199="","",R199-S199)</f>
        <v>26310.4257894736</v>
      </c>
      <c r="U199" s="43" t="n">
        <f aca="false">IF(S199="","",IF(S199=0,"",T199/S199))</f>
        <v>0.0281422576869141</v>
      </c>
      <c r="V199" s="42" t="n">
        <f aca="false">SUM(V186:V198)</f>
        <v>845011</v>
      </c>
      <c r="W199" s="41"/>
      <c r="X199" s="41"/>
      <c r="Y199" s="41"/>
    </row>
    <row r="201" customFormat="false" ht="15" hidden="false" customHeight="false" outlineLevel="0" collapsed="false">
      <c r="A201" s="6" t="s">
        <v>360</v>
      </c>
      <c r="B201" s="7" t="s">
        <v>361</v>
      </c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</row>
    <row r="202" customFormat="false" ht="15" hidden="false" customHeight="false" outlineLevel="0" collapsed="false">
      <c r="A202" s="9" t="s">
        <v>290</v>
      </c>
      <c r="B202" s="9" t="s">
        <v>291</v>
      </c>
      <c r="C202" s="9" t="s">
        <v>221</v>
      </c>
      <c r="D202" s="33" t="n">
        <v>51382</v>
      </c>
      <c r="E202" s="33" t="n">
        <v>51365</v>
      </c>
      <c r="F202" s="33" t="n">
        <v>47935</v>
      </c>
      <c r="G202" s="33" t="n">
        <v>32672</v>
      </c>
      <c r="H202" s="33" t="n">
        <v>48784</v>
      </c>
      <c r="I202" s="33" t="n">
        <v>63148</v>
      </c>
      <c r="J202" s="33" t="n">
        <v>67020</v>
      </c>
      <c r="K202" s="33" t="n">
        <v>75076</v>
      </c>
      <c r="L202" s="33" t="n">
        <v>83357</v>
      </c>
      <c r="M202" s="12" t="n">
        <f aca="false">SUM(D202:L202)</f>
        <v>520739</v>
      </c>
      <c r="N202" s="37" t="n">
        <f aca="false">$L202</f>
        <v>83357</v>
      </c>
      <c r="O202" s="37" t="n">
        <f aca="false">$L202</f>
        <v>83357</v>
      </c>
      <c r="P202" s="37" t="n">
        <f aca="false">$L202</f>
        <v>83357</v>
      </c>
      <c r="Q202" s="37" t="n">
        <f aca="false">SUM(N202:P202)</f>
        <v>250071</v>
      </c>
      <c r="R202" s="21" t="n">
        <f aca="false">M202+Q202</f>
        <v>770810</v>
      </c>
      <c r="T202" s="12" t="str">
        <f aca="false">IF(S202="","",R202-S202)</f>
        <v/>
      </c>
      <c r="U202" s="13" t="str">
        <f aca="false">IF(S202="","",IF(S202=0,"",T202/S202))</f>
        <v/>
      </c>
      <c r="V202" s="33" t="n">
        <v>689958</v>
      </c>
      <c r="X202" s="9" t="s">
        <v>362</v>
      </c>
      <c r="Y202" s="3" t="s">
        <v>363</v>
      </c>
    </row>
    <row r="203" customFormat="false" ht="15" hidden="false" customHeight="false" outlineLevel="0" collapsed="false">
      <c r="A203" s="9" t="s">
        <v>295</v>
      </c>
      <c r="B203" s="9" t="s">
        <v>291</v>
      </c>
      <c r="C203" s="9" t="s">
        <v>221</v>
      </c>
      <c r="D203" s="33" t="n">
        <v>0</v>
      </c>
      <c r="E203" s="33" t="n">
        <v>2280</v>
      </c>
      <c r="F203" s="33" t="n">
        <v>2786</v>
      </c>
      <c r="G203" s="33" t="n">
        <v>0</v>
      </c>
      <c r="H203" s="33" t="n">
        <v>0</v>
      </c>
      <c r="I203" s="33" t="n">
        <v>0</v>
      </c>
      <c r="J203" s="33" t="n">
        <v>0</v>
      </c>
      <c r="K203" s="33" t="n">
        <v>0</v>
      </c>
      <c r="L203" s="33" t="n">
        <v>0</v>
      </c>
      <c r="M203" s="12" t="n">
        <f aca="false">SUM(D203:L203)</f>
        <v>5066</v>
      </c>
      <c r="N203" s="37" t="n">
        <f aca="false">AVERAGE($G203:$L203)</f>
        <v>0</v>
      </c>
      <c r="O203" s="37" t="n">
        <f aca="false">AVERAGE($G203:$L203)</f>
        <v>0</v>
      </c>
      <c r="P203" s="37" t="n">
        <f aca="false">AVERAGE($G203:$L203)</f>
        <v>0</v>
      </c>
      <c r="Q203" s="37" t="n">
        <f aca="false">SUM(N203:P203)</f>
        <v>0</v>
      </c>
      <c r="R203" s="21" t="n">
        <f aca="false">M203+Q203</f>
        <v>5066</v>
      </c>
      <c r="T203" s="12" t="str">
        <f aca="false">IF(S203="","",R203-S203)</f>
        <v/>
      </c>
      <c r="U203" s="13" t="str">
        <f aca="false">IF(S203="","",IF(S203=0,"",T203/S203))</f>
        <v/>
      </c>
      <c r="V203" s="33" t="n">
        <v>9482</v>
      </c>
      <c r="X203" s="9" t="s">
        <v>248</v>
      </c>
      <c r="Y203" s="3" t="s">
        <v>249</v>
      </c>
    </row>
    <row r="204" customFormat="false" ht="15" hidden="false" customHeight="false" outlineLevel="0" collapsed="false">
      <c r="A204" s="9" t="s">
        <v>296</v>
      </c>
      <c r="B204" s="9" t="s">
        <v>291</v>
      </c>
      <c r="C204" s="9" t="s">
        <v>221</v>
      </c>
      <c r="D204" s="33" t="n">
        <v>0</v>
      </c>
      <c r="E204" s="33" t="n">
        <v>1013</v>
      </c>
      <c r="F204" s="33" t="n">
        <v>3222</v>
      </c>
      <c r="G204" s="33" t="n">
        <v>0</v>
      </c>
      <c r="H204" s="33" t="n">
        <v>0</v>
      </c>
      <c r="I204" s="33" t="n">
        <v>0</v>
      </c>
      <c r="J204" s="33" t="n">
        <v>0</v>
      </c>
      <c r="K204" s="33" t="n">
        <v>0</v>
      </c>
      <c r="L204" s="33" t="n">
        <v>0</v>
      </c>
      <c r="M204" s="12" t="n">
        <f aca="false">SUM(D204:L204)</f>
        <v>4235</v>
      </c>
      <c r="N204" s="37" t="n">
        <f aca="false">0</f>
        <v>0</v>
      </c>
      <c r="O204" s="37" t="n">
        <f aca="false">0</f>
        <v>0</v>
      </c>
      <c r="P204" s="37" t="n">
        <f aca="false">0</f>
        <v>0</v>
      </c>
      <c r="Q204" s="37" t="n">
        <f aca="false">SUM(N204:P204)</f>
        <v>0</v>
      </c>
      <c r="R204" s="21" t="n">
        <f aca="false">M204+Q204</f>
        <v>4235</v>
      </c>
      <c r="T204" s="12" t="str">
        <f aca="false">IF(S204="","",R204-S204)</f>
        <v/>
      </c>
      <c r="U204" s="13" t="str">
        <f aca="false">IF(S204="","",IF(S204=0,"",T204/S204))</f>
        <v/>
      </c>
      <c r="X204" s="9" t="s">
        <v>297</v>
      </c>
      <c r="Y204" s="3" t="s">
        <v>298</v>
      </c>
    </row>
    <row r="205" customFormat="false" ht="15" hidden="false" customHeight="false" outlineLevel="0" collapsed="false">
      <c r="A205" s="9" t="s">
        <v>299</v>
      </c>
      <c r="B205" s="9" t="s">
        <v>291</v>
      </c>
      <c r="C205" s="9" t="s">
        <v>221</v>
      </c>
      <c r="D205" s="33" t="n">
        <v>0</v>
      </c>
      <c r="E205" s="33" t="n">
        <v>6994</v>
      </c>
      <c r="F205" s="33" t="n">
        <v>0</v>
      </c>
      <c r="G205" s="33" t="n">
        <v>0</v>
      </c>
      <c r="H205" s="33" t="n">
        <v>0</v>
      </c>
      <c r="I205" s="33" t="n">
        <v>0</v>
      </c>
      <c r="J205" s="33" t="n">
        <v>0</v>
      </c>
      <c r="K205" s="33" t="n">
        <v>0</v>
      </c>
      <c r="L205" s="33" t="n">
        <v>0</v>
      </c>
      <c r="M205" s="12" t="n">
        <f aca="false">SUM(D205:L205)</f>
        <v>6994</v>
      </c>
      <c r="N205" s="37" t="n">
        <f aca="false">0</f>
        <v>0</v>
      </c>
      <c r="O205" s="37" t="n">
        <f aca="false">0</f>
        <v>0</v>
      </c>
      <c r="P205" s="37" t="n">
        <f aca="false">0</f>
        <v>0</v>
      </c>
      <c r="Q205" s="37" t="n">
        <f aca="false">SUM(N205:P205)</f>
        <v>0</v>
      </c>
      <c r="R205" s="21" t="n">
        <f aca="false">M205+Q205</f>
        <v>6994</v>
      </c>
      <c r="T205" s="12" t="str">
        <f aca="false">IF(S205="","",R205-S205)</f>
        <v/>
      </c>
      <c r="U205" s="13" t="str">
        <f aca="false">IF(S205="","",IF(S205=0,"",T205/S205))</f>
        <v/>
      </c>
      <c r="V205" s="33" t="n">
        <v>0</v>
      </c>
      <c r="X205" s="9" t="s">
        <v>297</v>
      </c>
      <c r="Y205" s="3" t="s">
        <v>298</v>
      </c>
    </row>
    <row r="206" customFormat="false" ht="15" hidden="false" customHeight="false" outlineLevel="0" collapsed="false">
      <c r="A206" s="9" t="s">
        <v>321</v>
      </c>
      <c r="B206" s="9" t="s">
        <v>291</v>
      </c>
      <c r="C206" s="9" t="s">
        <v>221</v>
      </c>
      <c r="D206" s="33" t="n">
        <v>0</v>
      </c>
      <c r="E206" s="33" t="n">
        <v>0</v>
      </c>
      <c r="F206" s="33" t="n">
        <v>0</v>
      </c>
      <c r="G206" s="33" t="n">
        <v>0</v>
      </c>
      <c r="H206" s="33" t="n">
        <v>280</v>
      </c>
      <c r="I206" s="33" t="n">
        <v>0</v>
      </c>
      <c r="J206" s="33" t="n">
        <v>0</v>
      </c>
      <c r="K206" s="33" t="n">
        <v>0</v>
      </c>
      <c r="L206" s="33" t="n">
        <v>0</v>
      </c>
      <c r="M206" s="12" t="n">
        <f aca="false">SUM(D206:L206)</f>
        <v>280</v>
      </c>
      <c r="N206" s="37" t="n">
        <f aca="false">AVERAGE($J206:$L206)</f>
        <v>0</v>
      </c>
      <c r="O206" s="37" t="n">
        <f aca="false">AVERAGE($J206:$L206)</f>
        <v>0</v>
      </c>
      <c r="P206" s="37" t="n">
        <f aca="false">AVERAGE($J206:$L206)</f>
        <v>0</v>
      </c>
      <c r="Q206" s="37" t="n">
        <f aca="false">SUM(N206:P206)</f>
        <v>0</v>
      </c>
      <c r="R206" s="21" t="n">
        <f aca="false">M206+Q206</f>
        <v>280</v>
      </c>
      <c r="T206" s="12" t="str">
        <f aca="false">IF(S206="","",R206-S206)</f>
        <v/>
      </c>
      <c r="U206" s="13" t="str">
        <f aca="false">IF(S206="","",IF(S206=0,"",T206/S206))</f>
        <v/>
      </c>
      <c r="X206" s="9" t="s">
        <v>304</v>
      </c>
      <c r="Y206" s="3" t="s">
        <v>305</v>
      </c>
    </row>
    <row r="207" customFormat="false" ht="15" hidden="false" customHeight="false" outlineLevel="0" collapsed="false">
      <c r="A207" s="9" t="s">
        <v>306</v>
      </c>
      <c r="B207" s="9" t="s">
        <v>291</v>
      </c>
      <c r="C207" s="9" t="s">
        <v>221</v>
      </c>
      <c r="D207" s="33" t="n">
        <v>6680</v>
      </c>
      <c r="E207" s="33" t="n">
        <v>6677</v>
      </c>
      <c r="F207" s="33" t="n">
        <v>5464</v>
      </c>
      <c r="G207" s="33" t="n">
        <v>4247</v>
      </c>
      <c r="H207" s="33" t="n">
        <v>6342</v>
      </c>
      <c r="I207" s="33" t="n">
        <v>8209</v>
      </c>
      <c r="J207" s="33" t="n">
        <v>8713</v>
      </c>
      <c r="K207" s="33" t="n">
        <v>9760</v>
      </c>
      <c r="L207" s="33" t="n">
        <v>10836</v>
      </c>
      <c r="M207" s="12" t="n">
        <f aca="false">SUM(D207:L207)</f>
        <v>66928</v>
      </c>
      <c r="N207" s="37" t="n">
        <f aca="false">$L207</f>
        <v>10836</v>
      </c>
      <c r="O207" s="37" t="n">
        <f aca="false">$L207</f>
        <v>10836</v>
      </c>
      <c r="P207" s="37" t="n">
        <f aca="false">$L207</f>
        <v>10836</v>
      </c>
      <c r="Q207" s="37" t="n">
        <f aca="false">SUM(N207:P207)</f>
        <v>32508</v>
      </c>
      <c r="R207" s="21" t="n">
        <f aca="false">M207+Q207</f>
        <v>99436</v>
      </c>
      <c r="T207" s="12" t="str">
        <f aca="false">IF(S207="","",R207-S207)</f>
        <v/>
      </c>
      <c r="U207" s="13" t="str">
        <f aca="false">IF(S207="","",IF(S207=0,"",T207/S207))</f>
        <v/>
      </c>
      <c r="V207" s="33" t="n">
        <v>88195</v>
      </c>
      <c r="X207" s="9" t="s">
        <v>364</v>
      </c>
      <c r="Y207" s="3" t="s">
        <v>365</v>
      </c>
    </row>
    <row r="208" customFormat="false" ht="15" hidden="false" customHeight="false" outlineLevel="0" collapsed="false">
      <c r="A208" s="9" t="s">
        <v>307</v>
      </c>
      <c r="B208" s="9" t="s">
        <v>291</v>
      </c>
      <c r="C208" s="9" t="s">
        <v>221</v>
      </c>
      <c r="D208" s="33" t="n">
        <v>11718</v>
      </c>
      <c r="E208" s="33" t="n">
        <v>11718</v>
      </c>
      <c r="F208" s="33" t="n">
        <v>10877</v>
      </c>
      <c r="G208" s="33" t="n">
        <v>9001</v>
      </c>
      <c r="H208" s="33" t="n">
        <v>11418</v>
      </c>
      <c r="I208" s="33" t="n">
        <v>13572</v>
      </c>
      <c r="J208" s="33" t="n">
        <v>14153</v>
      </c>
      <c r="K208" s="33" t="n">
        <v>15361</v>
      </c>
      <c r="L208" s="33" t="n">
        <v>16603</v>
      </c>
      <c r="M208" s="12" t="n">
        <f aca="false">SUM(D208:L208)</f>
        <v>114421</v>
      </c>
      <c r="N208" s="37" t="n">
        <f aca="false">$L208</f>
        <v>16603</v>
      </c>
      <c r="O208" s="37" t="n">
        <f aca="false">$L208</f>
        <v>16603</v>
      </c>
      <c r="P208" s="37" t="n">
        <f aca="false">$L208</f>
        <v>16603</v>
      </c>
      <c r="Q208" s="37" t="n">
        <f aca="false">SUM(N208:P208)</f>
        <v>49809</v>
      </c>
      <c r="R208" s="21" t="n">
        <f aca="false">M208+Q208</f>
        <v>164230</v>
      </c>
      <c r="T208" s="12" t="str">
        <f aca="false">IF(S208="","",R208-S208)</f>
        <v/>
      </c>
      <c r="U208" s="13" t="str">
        <f aca="false">IF(S208="","",IF(S208=0,"",T208/S208))</f>
        <v/>
      </c>
      <c r="V208" s="33" t="n">
        <v>145361</v>
      </c>
      <c r="X208" s="9" t="s">
        <v>364</v>
      </c>
      <c r="Y208" s="3" t="s">
        <v>365</v>
      </c>
    </row>
    <row r="209" customFormat="false" ht="15" hidden="false" customHeight="false" outlineLevel="0" collapsed="false">
      <c r="A209" s="9" t="s">
        <v>308</v>
      </c>
      <c r="B209" s="9" t="s">
        <v>291</v>
      </c>
      <c r="C209" s="9" t="s">
        <v>221</v>
      </c>
      <c r="D209" s="33" t="n">
        <v>0</v>
      </c>
      <c r="E209" s="33" t="n">
        <v>0</v>
      </c>
      <c r="F209" s="33" t="n">
        <v>0</v>
      </c>
      <c r="G209" s="33" t="n">
        <v>0</v>
      </c>
      <c r="H209" s="33" t="n">
        <v>21481</v>
      </c>
      <c r="I209" s="33" t="n">
        <v>0</v>
      </c>
      <c r="J209" s="33" t="n">
        <v>0</v>
      </c>
      <c r="K209" s="33" t="n">
        <v>0</v>
      </c>
      <c r="L209" s="33" t="n">
        <v>0</v>
      </c>
      <c r="M209" s="12" t="n">
        <f aca="false">SUM(D209:L209)</f>
        <v>21481</v>
      </c>
      <c r="N209" s="37" t="n">
        <f aca="false">0</f>
        <v>0</v>
      </c>
      <c r="O209" s="37" t="n">
        <f aca="false">0</f>
        <v>0</v>
      </c>
      <c r="P209" s="37" t="n">
        <f aca="false">0</f>
        <v>0</v>
      </c>
      <c r="Q209" s="37" t="n">
        <f aca="false">SUM(N209:P209)</f>
        <v>0</v>
      </c>
      <c r="R209" s="21" t="n">
        <f aca="false">M209+Q209</f>
        <v>21481</v>
      </c>
      <c r="T209" s="12" t="str">
        <f aca="false">IF(S209="","",R209-S209)</f>
        <v/>
      </c>
      <c r="U209" s="13" t="str">
        <f aca="false">IF(S209="","",IF(S209=0,"",T209/S209))</f>
        <v/>
      </c>
      <c r="V209" s="33" t="n">
        <v>40747</v>
      </c>
      <c r="X209" s="9" t="s">
        <v>297</v>
      </c>
      <c r="Y209" s="3" t="s">
        <v>298</v>
      </c>
    </row>
    <row r="210" customFormat="false" ht="15" hidden="false" customHeight="false" outlineLevel="0" collapsed="false">
      <c r="A210" s="9" t="s">
        <v>366</v>
      </c>
      <c r="B210" s="9" t="s">
        <v>291</v>
      </c>
      <c r="C210" s="9" t="s">
        <v>221</v>
      </c>
      <c r="D210" s="33" t="n">
        <v>0</v>
      </c>
      <c r="E210" s="33" t="n">
        <v>112566</v>
      </c>
      <c r="F210" s="33" t="n">
        <v>0</v>
      </c>
      <c r="G210" s="33" t="n">
        <v>0</v>
      </c>
      <c r="H210" s="33" t="n">
        <v>0</v>
      </c>
      <c r="I210" s="33" t="n">
        <v>0</v>
      </c>
      <c r="J210" s="33" t="n">
        <v>0</v>
      </c>
      <c r="K210" s="33" t="n">
        <v>0</v>
      </c>
      <c r="L210" s="33" t="n">
        <v>0</v>
      </c>
      <c r="M210" s="12" t="n">
        <f aca="false">SUM(D210:L210)</f>
        <v>112566</v>
      </c>
      <c r="N210" s="37" t="n">
        <f aca="false">0</f>
        <v>0</v>
      </c>
      <c r="O210" s="37" t="n">
        <f aca="false">0</f>
        <v>0</v>
      </c>
      <c r="P210" s="37" t="n">
        <f aca="false">0</f>
        <v>0</v>
      </c>
      <c r="Q210" s="37" t="n">
        <f aca="false">SUM(N210:P210)</f>
        <v>0</v>
      </c>
      <c r="R210" s="21" t="n">
        <f aca="false">M210+Q210</f>
        <v>112566</v>
      </c>
      <c r="T210" s="12" t="str">
        <f aca="false">IF(S210="","",R210-S210)</f>
        <v/>
      </c>
      <c r="U210" s="13" t="str">
        <f aca="false">IF(S210="","",IF(S210=0,"",T210/S210))</f>
        <v/>
      </c>
      <c r="X210" s="9" t="s">
        <v>367</v>
      </c>
      <c r="Y210" s="3" t="s">
        <v>368</v>
      </c>
    </row>
    <row r="211" customFormat="false" ht="15" hidden="false" customHeight="false" outlineLevel="0" collapsed="false">
      <c r="A211" s="9" t="s">
        <v>309</v>
      </c>
      <c r="B211" s="9" t="s">
        <v>291</v>
      </c>
      <c r="C211" s="9" t="s">
        <v>221</v>
      </c>
      <c r="D211" s="33" t="n">
        <v>4757</v>
      </c>
      <c r="E211" s="33" t="n">
        <v>4305</v>
      </c>
      <c r="F211" s="33" t="n">
        <v>2710</v>
      </c>
      <c r="G211" s="33" t="n">
        <v>2661</v>
      </c>
      <c r="H211" s="33" t="n">
        <v>4563</v>
      </c>
      <c r="I211" s="33" t="n">
        <v>6007</v>
      </c>
      <c r="J211" s="33" t="n">
        <v>6897</v>
      </c>
      <c r="K211" s="33" t="n">
        <v>7221</v>
      </c>
      <c r="L211" s="33" t="n">
        <v>4221</v>
      </c>
      <c r="M211" s="12" t="n">
        <f aca="false">SUM(D211:L211)</f>
        <v>43342</v>
      </c>
      <c r="N211" s="37" t="n">
        <f aca="false">AVERAGE($J211:$L211)</f>
        <v>6113</v>
      </c>
      <c r="O211" s="37" t="n">
        <f aca="false">AVERAGE($J211:$L211)</f>
        <v>6113</v>
      </c>
      <c r="P211" s="37" t="n">
        <f aca="false">AVERAGE($J211:$L211)</f>
        <v>6113</v>
      </c>
      <c r="Q211" s="37" t="n">
        <f aca="false">SUM(N211:P211)</f>
        <v>18339</v>
      </c>
      <c r="R211" s="21" t="n">
        <f aca="false">M211+Q211</f>
        <v>61681</v>
      </c>
      <c r="T211" s="12" t="str">
        <f aca="false">IF(S211="","",R211-S211)</f>
        <v/>
      </c>
      <c r="U211" s="13" t="str">
        <f aca="false">IF(S211="","",IF(S211=0,"",T211/S211))</f>
        <v/>
      </c>
      <c r="V211" s="33" t="n">
        <v>63374</v>
      </c>
      <c r="X211" s="9" t="s">
        <v>304</v>
      </c>
      <c r="Y211" s="3" t="s">
        <v>305</v>
      </c>
    </row>
    <row r="212" customFormat="false" ht="15" hidden="false" customHeight="false" outlineLevel="0" collapsed="false">
      <c r="A212" s="9" t="s">
        <v>310</v>
      </c>
      <c r="B212" s="9" t="s">
        <v>291</v>
      </c>
      <c r="C212" s="9" t="s">
        <v>221</v>
      </c>
      <c r="D212" s="33" t="n">
        <v>0</v>
      </c>
      <c r="E212" s="33" t="n">
        <v>9577</v>
      </c>
      <c r="F212" s="33" t="n">
        <v>0</v>
      </c>
      <c r="G212" s="33" t="n">
        <v>5565</v>
      </c>
      <c r="H212" s="33" t="n">
        <v>0</v>
      </c>
      <c r="I212" s="33" t="n">
        <v>12849</v>
      </c>
      <c r="J212" s="33" t="n">
        <v>0</v>
      </c>
      <c r="K212" s="33" t="n">
        <v>14885</v>
      </c>
      <c r="L212" s="33" t="n">
        <v>0</v>
      </c>
      <c r="M212" s="12" t="n">
        <f aca="false">SUM(D212:L212)</f>
        <v>42876</v>
      </c>
      <c r="N212" s="37" t="n">
        <f aca="false">$K212</f>
        <v>14885</v>
      </c>
      <c r="O212" s="37" t="n">
        <f aca="false">0</f>
        <v>0</v>
      </c>
      <c r="P212" s="37" t="n">
        <f aca="false">$K212</f>
        <v>14885</v>
      </c>
      <c r="Q212" s="37" t="n">
        <f aca="false">SUM(N212:P212)</f>
        <v>29770</v>
      </c>
      <c r="R212" s="21" t="n">
        <f aca="false">M212+Q212</f>
        <v>72646</v>
      </c>
      <c r="T212" s="12" t="str">
        <f aca="false">IF(S212="","",R212-S212)</f>
        <v/>
      </c>
      <c r="U212" s="13" t="str">
        <f aca="false">IF(S212="","",IF(S212=0,"",T212/S212))</f>
        <v/>
      </c>
      <c r="V212" s="33" t="n">
        <v>57802</v>
      </c>
      <c r="X212" s="9" t="s">
        <v>311</v>
      </c>
      <c r="Y212" s="3" t="s">
        <v>312</v>
      </c>
    </row>
    <row r="213" customFormat="false" ht="15" hidden="false" customHeight="false" outlineLevel="0" collapsed="false">
      <c r="A213" s="9" t="s">
        <v>313</v>
      </c>
      <c r="B213" s="9" t="s">
        <v>291</v>
      </c>
      <c r="C213" s="9" t="s">
        <v>221</v>
      </c>
      <c r="D213" s="33" t="n">
        <v>0</v>
      </c>
      <c r="E213" s="33" t="n">
        <v>2361</v>
      </c>
      <c r="F213" s="33" t="n">
        <v>0</v>
      </c>
      <c r="G213" s="33" t="n">
        <v>1384</v>
      </c>
      <c r="H213" s="33" t="n">
        <v>0</v>
      </c>
      <c r="I213" s="33" t="n">
        <v>3127</v>
      </c>
      <c r="J213" s="33" t="n">
        <v>0</v>
      </c>
      <c r="K213" s="33" t="n">
        <v>3595</v>
      </c>
      <c r="L213" s="33" t="n">
        <v>0</v>
      </c>
      <c r="M213" s="12" t="n">
        <f aca="false">SUM(D213:L213)</f>
        <v>10467</v>
      </c>
      <c r="N213" s="37" t="n">
        <f aca="false">$K213</f>
        <v>3595</v>
      </c>
      <c r="O213" s="37" t="n">
        <f aca="false">0</f>
        <v>0</v>
      </c>
      <c r="P213" s="37" t="n">
        <f aca="false">$K213</f>
        <v>3595</v>
      </c>
      <c r="Q213" s="37" t="n">
        <f aca="false">SUM(N213:P213)</f>
        <v>7190</v>
      </c>
      <c r="R213" s="21" t="n">
        <f aca="false">M213+Q213</f>
        <v>17657</v>
      </c>
      <c r="T213" s="12" t="str">
        <f aca="false">IF(S213="","",R213-S213)</f>
        <v/>
      </c>
      <c r="U213" s="13" t="str">
        <f aca="false">IF(S213="","",IF(S213=0,"",T213/S213))</f>
        <v/>
      </c>
      <c r="V213" s="33" t="n">
        <v>20207</v>
      </c>
      <c r="X213" s="9" t="s">
        <v>311</v>
      </c>
      <c r="Y213" s="3" t="s">
        <v>312</v>
      </c>
    </row>
    <row r="214" customFormat="false" ht="15" hidden="false" customHeight="false" outlineLevel="0" collapsed="false">
      <c r="A214" s="9" t="s">
        <v>314</v>
      </c>
      <c r="B214" s="9" t="s">
        <v>291</v>
      </c>
      <c r="C214" s="9" t="s">
        <v>221</v>
      </c>
      <c r="D214" s="33" t="n">
        <v>0</v>
      </c>
      <c r="E214" s="33" t="n">
        <v>5902</v>
      </c>
      <c r="F214" s="33" t="n">
        <v>0</v>
      </c>
      <c r="G214" s="33" t="n">
        <v>3461</v>
      </c>
      <c r="H214" s="33" t="n">
        <v>0</v>
      </c>
      <c r="I214" s="33" t="n">
        <v>7818</v>
      </c>
      <c r="J214" s="33" t="n">
        <v>0</v>
      </c>
      <c r="K214" s="33" t="n">
        <v>8987</v>
      </c>
      <c r="L214" s="33" t="n">
        <v>0</v>
      </c>
      <c r="M214" s="12" t="n">
        <f aca="false">SUM(D214:L214)</f>
        <v>26168</v>
      </c>
      <c r="N214" s="37" t="n">
        <f aca="false">$K214</f>
        <v>8987</v>
      </c>
      <c r="O214" s="37" t="n">
        <f aca="false">0</f>
        <v>0</v>
      </c>
      <c r="P214" s="37" t="n">
        <f aca="false">$K214</f>
        <v>8987</v>
      </c>
      <c r="Q214" s="37" t="n">
        <f aca="false">SUM(N214:P214)</f>
        <v>17974</v>
      </c>
      <c r="R214" s="21" t="n">
        <f aca="false">M214+Q214</f>
        <v>44142</v>
      </c>
      <c r="T214" s="12" t="str">
        <f aca="false">IF(S214="","",R214-S214)</f>
        <v/>
      </c>
      <c r="U214" s="13" t="str">
        <f aca="false">IF(S214="","",IF(S214=0,"",T214/S214))</f>
        <v/>
      </c>
      <c r="V214" s="33" t="n">
        <v>40074</v>
      </c>
      <c r="X214" s="9" t="s">
        <v>311</v>
      </c>
      <c r="Y214" s="3" t="s">
        <v>312</v>
      </c>
    </row>
    <row r="215" customFormat="false" ht="15" hidden="false" customHeight="false" outlineLevel="0" collapsed="false">
      <c r="A215" s="9" t="s">
        <v>300</v>
      </c>
      <c r="B215" s="9" t="s">
        <v>291</v>
      </c>
      <c r="C215" s="9" t="s">
        <v>221</v>
      </c>
      <c r="D215" s="33" t="n">
        <v>0</v>
      </c>
      <c r="E215" s="33" t="n">
        <v>0</v>
      </c>
      <c r="F215" s="33" t="n">
        <v>0</v>
      </c>
      <c r="G215" s="33" t="n">
        <v>0</v>
      </c>
      <c r="H215" s="33" t="n">
        <v>0</v>
      </c>
      <c r="I215" s="33" t="n">
        <v>0</v>
      </c>
      <c r="J215" s="33" t="n">
        <v>0</v>
      </c>
      <c r="K215" s="33" t="n">
        <v>0</v>
      </c>
      <c r="L215" s="33" t="n">
        <v>0</v>
      </c>
      <c r="M215" s="12" t="n">
        <f aca="false">SUM(D215:L215)</f>
        <v>0</v>
      </c>
      <c r="N215" s="11" t="n">
        <f aca="false">0</f>
        <v>0</v>
      </c>
      <c r="O215" s="11" t="n">
        <f aca="false">0</f>
        <v>0</v>
      </c>
      <c r="P215" s="11" t="n">
        <f aca="false">($L202)/Supuestos!$C$11*Supuestos!$C$13</f>
        <v>82260.1973684211</v>
      </c>
      <c r="Q215" s="37" t="n">
        <f aca="false">SUM(N215:P215)</f>
        <v>82260.1973684211</v>
      </c>
      <c r="R215" s="21" t="n">
        <f aca="false">M215+Q215</f>
        <v>82260.1973684211</v>
      </c>
      <c r="T215" s="12" t="str">
        <f aca="false">IF(S215="","",R215-S215)</f>
        <v/>
      </c>
      <c r="U215" s="13" t="str">
        <f aca="false">IF(S215="","",IF(S215=0,"",T215/S215))</f>
        <v/>
      </c>
      <c r="V215" s="33" t="n">
        <v>53957</v>
      </c>
      <c r="X215" s="9" t="s">
        <v>346</v>
      </c>
      <c r="Y215" s="3" t="s">
        <v>347</v>
      </c>
    </row>
    <row r="216" customFormat="false" ht="15" hidden="false" customHeight="false" outlineLevel="0" collapsed="false">
      <c r="A216" s="9" t="s">
        <v>315</v>
      </c>
      <c r="B216" s="9" t="s">
        <v>291</v>
      </c>
      <c r="C216" s="9" t="s">
        <v>221</v>
      </c>
      <c r="D216" s="33" t="n">
        <v>2410</v>
      </c>
      <c r="E216" s="33" t="n">
        <v>5339</v>
      </c>
      <c r="F216" s="33" t="n">
        <v>1433</v>
      </c>
      <c r="G216" s="33" t="n">
        <v>1580</v>
      </c>
      <c r="H216" s="33" t="n">
        <v>3532</v>
      </c>
      <c r="I216" s="33" t="n">
        <v>4224</v>
      </c>
      <c r="J216" s="33" t="n">
        <v>3390</v>
      </c>
      <c r="K216" s="33" t="n">
        <v>3466</v>
      </c>
      <c r="L216" s="33" t="n">
        <v>2083</v>
      </c>
      <c r="M216" s="12" t="n">
        <f aca="false">SUM(D216:L216)</f>
        <v>27457</v>
      </c>
      <c r="N216" s="11" t="n">
        <f aca="false">AVERAGE($J216:$L216)</f>
        <v>2979.66666666667</v>
      </c>
      <c r="O216" s="11" t="n">
        <f aca="false">AVERAGE($J216:$L216)</f>
        <v>2979.66666666667</v>
      </c>
      <c r="P216" s="11" t="n">
        <f aca="false">AVERAGE($J216:$L216)+Supuestos!$C$10*$P215</f>
        <v>5447.4725877193</v>
      </c>
      <c r="Q216" s="37" t="n">
        <f aca="false">SUM(N216:P216)</f>
        <v>11406.8059210526</v>
      </c>
      <c r="R216" s="21" t="n">
        <f aca="false">M216+Q216</f>
        <v>38863.8059210526</v>
      </c>
      <c r="T216" s="12" t="str">
        <f aca="false">IF(S216="","",R216-S216)</f>
        <v/>
      </c>
      <c r="U216" s="13" t="str">
        <f aca="false">IF(S216="","",IF(S216=0,"",T216/S216))</f>
        <v/>
      </c>
      <c r="V216" s="33" t="n">
        <v>35772</v>
      </c>
      <c r="X216" s="9" t="s">
        <v>316</v>
      </c>
      <c r="Y216" s="3" t="s">
        <v>317</v>
      </c>
    </row>
    <row r="217" customFormat="false" ht="15" hidden="false" customHeight="false" outlineLevel="0" collapsed="false">
      <c r="A217" s="3" t="s">
        <v>274</v>
      </c>
      <c r="V217" s="33" t="n">
        <v>101084</v>
      </c>
      <c r="X217" s="3" t="s">
        <v>275</v>
      </c>
      <c r="Y217" s="3" t="s">
        <v>276</v>
      </c>
    </row>
    <row r="218" customFormat="false" ht="15" hidden="false" customHeight="false" outlineLevel="0" collapsed="false">
      <c r="A218" s="40" t="s">
        <v>369</v>
      </c>
      <c r="B218" s="41"/>
      <c r="C218" s="41"/>
      <c r="D218" s="42" t="n">
        <f aca="false">SUM(D202:D217)</f>
        <v>76947</v>
      </c>
      <c r="E218" s="42" t="n">
        <f aca="false">SUM(E202:E217)</f>
        <v>220097</v>
      </c>
      <c r="F218" s="42" t="n">
        <f aca="false">SUM(F202:F217)</f>
        <v>74427</v>
      </c>
      <c r="G218" s="42" t="n">
        <f aca="false">SUM(G202:G217)</f>
        <v>60571</v>
      </c>
      <c r="H218" s="42" t="n">
        <f aca="false">SUM(H202:H217)</f>
        <v>96400</v>
      </c>
      <c r="I218" s="42" t="n">
        <f aca="false">SUM(I202:I217)</f>
        <v>118954</v>
      </c>
      <c r="J218" s="42" t="n">
        <f aca="false">SUM(J202:J217)</f>
        <v>100173</v>
      </c>
      <c r="K218" s="42" t="n">
        <f aca="false">SUM(K202:K217)</f>
        <v>138351</v>
      </c>
      <c r="L218" s="42" t="n">
        <f aca="false">SUM(L202:L217)</f>
        <v>117100</v>
      </c>
      <c r="M218" s="42" t="n">
        <f aca="false">SUM(M202:M217)</f>
        <v>1003020</v>
      </c>
      <c r="N218" s="42" t="n">
        <f aca="false">SUM(N202:N217)</f>
        <v>147355.666666667</v>
      </c>
      <c r="O218" s="42" t="n">
        <f aca="false">SUM(O202:O217)</f>
        <v>119888.666666667</v>
      </c>
      <c r="P218" s="42" t="n">
        <f aca="false">SUM(P202:P217)</f>
        <v>232083.66995614</v>
      </c>
      <c r="Q218" s="42" t="n">
        <f aca="false">SUM(Q202:Q217)</f>
        <v>499328.003289474</v>
      </c>
      <c r="R218" s="42" t="n">
        <f aca="false">SUM(R202:R217)</f>
        <v>1502348.00328947</v>
      </c>
      <c r="S218" s="42" t="n">
        <f aca="false">IF(COUNTIF('Presupuesto 2026'!$B:$B,$A218)=0,"",SUMIF('Presupuesto 2026'!$B:$B,$A218,'Presupuesto 2026'!$D:$D))</f>
        <v>1185427.02</v>
      </c>
      <c r="T218" s="42" t="n">
        <f aca="false">IF(S218="","",R218-S218)</f>
        <v>316920.983289474</v>
      </c>
      <c r="U218" s="43" t="n">
        <f aca="false">IF(S218="","",IF(S218=0,"",T218/S218))</f>
        <v>0.267347527888704</v>
      </c>
      <c r="V218" s="42" t="n">
        <f aca="false">SUM(V202:V217)</f>
        <v>1346013</v>
      </c>
      <c r="W218" s="41"/>
      <c r="X218" s="41"/>
      <c r="Y218" s="41"/>
    </row>
    <row r="220" customFormat="false" ht="15" hidden="false" customHeight="false" outlineLevel="0" collapsed="false">
      <c r="A220" s="6" t="s">
        <v>370</v>
      </c>
      <c r="B220" s="7" t="s">
        <v>36</v>
      </c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</row>
    <row r="221" customFormat="false" ht="15" hidden="false" customHeight="false" outlineLevel="0" collapsed="false">
      <c r="A221" s="9" t="s">
        <v>371</v>
      </c>
      <c r="B221" s="9" t="s">
        <v>372</v>
      </c>
      <c r="C221" s="9" t="s">
        <v>221</v>
      </c>
      <c r="D221" s="33" t="n">
        <v>47796</v>
      </c>
      <c r="E221" s="33" t="n">
        <v>69911</v>
      </c>
      <c r="F221" s="33" t="n">
        <v>85299</v>
      </c>
      <c r="G221" s="33" t="n">
        <v>89023</v>
      </c>
      <c r="H221" s="33" t="n">
        <v>64033</v>
      </c>
      <c r="I221" s="33" t="n">
        <v>72199</v>
      </c>
      <c r="J221" s="33" t="n">
        <v>49450</v>
      </c>
      <c r="K221" s="33" t="n">
        <v>48008</v>
      </c>
      <c r="L221" s="33" t="n">
        <v>46848</v>
      </c>
      <c r="M221" s="12" t="n">
        <f aca="false">SUM(D221:L221)</f>
        <v>572567</v>
      </c>
      <c r="N221" s="37" t="n">
        <f aca="false">AVERAGE($G221:$L221)</f>
        <v>61593.5</v>
      </c>
      <c r="O221" s="37" t="n">
        <f aca="false">AVERAGE($G221:$L221)</f>
        <v>61593.5</v>
      </c>
      <c r="P221" s="37" t="n">
        <f aca="false">AVERAGE($G221:$L221)+$W221</f>
        <v>61593.5</v>
      </c>
      <c r="Q221" s="37" t="n">
        <f aca="false">SUM(N221:P221)</f>
        <v>184780.5</v>
      </c>
      <c r="R221" s="21" t="n">
        <f aca="false">M221+Q221</f>
        <v>757347.5</v>
      </c>
      <c r="S221" s="10" t="n">
        <f aca="false">IF(COUNTIF('Presupuesto 2026'!$B:$B,$A221)=0,"",SUMIF('Presupuesto 2026'!$B:$B,$A221,'Presupuesto 2026'!$D:$D))</f>
        <v>670000</v>
      </c>
      <c r="T221" s="12" t="n">
        <f aca="false">IF(S221="","",R221-S221)</f>
        <v>87347.5</v>
      </c>
      <c r="U221" s="13" t="n">
        <f aca="false">IF(S221="","",IF(S221=0,"",T221/S221))</f>
        <v>0.130369402985075</v>
      </c>
      <c r="V221" s="33" t="n">
        <v>713035</v>
      </c>
      <c r="W221" s="10" t="n">
        <f aca="false">SUMIF('Fin de anio'!$D:$D,$A221,'Fin de anio'!$C:$C)</f>
        <v>0</v>
      </c>
      <c r="X221" s="9" t="s">
        <v>248</v>
      </c>
      <c r="Y221" s="3" t="s">
        <v>249</v>
      </c>
    </row>
    <row r="222" customFormat="false" ht="15" hidden="false" customHeight="false" outlineLevel="0" collapsed="false">
      <c r="A222" s="9" t="s">
        <v>373</v>
      </c>
      <c r="B222" s="9" t="s">
        <v>372</v>
      </c>
      <c r="C222" s="9" t="s">
        <v>221</v>
      </c>
      <c r="D222" s="33" t="n">
        <v>3208</v>
      </c>
      <c r="E222" s="33" t="n">
        <v>39382</v>
      </c>
      <c r="F222" s="33" t="n">
        <v>2961</v>
      </c>
      <c r="G222" s="33" t="n">
        <v>35876</v>
      </c>
      <c r="H222" s="33" t="n">
        <v>2215</v>
      </c>
      <c r="I222" s="33" t="n">
        <v>32348</v>
      </c>
      <c r="J222" s="33" t="n">
        <v>1937</v>
      </c>
      <c r="K222" s="33" t="n">
        <v>27841</v>
      </c>
      <c r="L222" s="33" t="n">
        <v>1981</v>
      </c>
      <c r="M222" s="12" t="n">
        <f aca="false">SUM(D222:L222)</f>
        <v>147749</v>
      </c>
      <c r="N222" s="37" t="n">
        <f aca="false">AVERAGE($G222,$I222,$K222)</f>
        <v>32021.6666666667</v>
      </c>
      <c r="O222" s="37" t="n">
        <f aca="false">AVERAGE($H222,$J222,$L222)</f>
        <v>2044.33333333333</v>
      </c>
      <c r="P222" s="37" t="n">
        <f aca="false">AVERAGE($G222,$I222,$K222)+$W222</f>
        <v>32021.6666666667</v>
      </c>
      <c r="Q222" s="37" t="n">
        <f aca="false">SUM(N222:P222)</f>
        <v>66087.6666666667</v>
      </c>
      <c r="R222" s="21" t="n">
        <f aca="false">M222+Q222</f>
        <v>213836.666666667</v>
      </c>
      <c r="S222" s="10" t="n">
        <f aca="false">IF(COUNTIF('Presupuesto 2026'!$B:$B,$A222)=0,"",SUMIF('Presupuesto 2026'!$B:$B,$A222,'Presupuesto 2026'!$D:$D))</f>
        <v>350000</v>
      </c>
      <c r="T222" s="12" t="n">
        <f aca="false">IF(S222="","",R222-S222)</f>
        <v>-136163.333333333</v>
      </c>
      <c r="U222" s="13" t="n">
        <f aca="false">IF(S222="","",IF(S222=0,"",T222/S222))</f>
        <v>-0.389038095238095</v>
      </c>
      <c r="V222" s="33" t="n">
        <v>325048</v>
      </c>
      <c r="W222" s="10" t="n">
        <f aca="false">SUMIF('Fin de anio'!$D:$D,$A222,'Fin de anio'!$C:$C)</f>
        <v>0</v>
      </c>
      <c r="X222" s="9" t="s">
        <v>374</v>
      </c>
      <c r="Y222" s="3" t="s">
        <v>375</v>
      </c>
    </row>
    <row r="223" customFormat="false" ht="15" hidden="false" customHeight="false" outlineLevel="0" collapsed="false">
      <c r="A223" s="9" t="s">
        <v>376</v>
      </c>
      <c r="B223" s="9" t="s">
        <v>372</v>
      </c>
      <c r="C223" s="9" t="s">
        <v>221</v>
      </c>
      <c r="D223" s="33" t="n">
        <v>80104</v>
      </c>
      <c r="E223" s="33" t="n">
        <v>63836</v>
      </c>
      <c r="F223" s="33" t="n">
        <v>48000</v>
      </c>
      <c r="G223" s="33" t="n">
        <v>98288</v>
      </c>
      <c r="H223" s="33" t="n">
        <v>44000</v>
      </c>
      <c r="I223" s="33" t="n">
        <v>33888</v>
      </c>
      <c r="J223" s="33" t="n">
        <v>89200</v>
      </c>
      <c r="K223" s="33" t="n">
        <v>54288</v>
      </c>
      <c r="L223" s="33" t="n">
        <v>53302</v>
      </c>
      <c r="M223" s="12" t="n">
        <f aca="false">SUM(D223:L223)</f>
        <v>564906</v>
      </c>
      <c r="N223" s="37" t="n">
        <f aca="false">AVERAGE($G223:$L223)</f>
        <v>62161</v>
      </c>
      <c r="O223" s="37" t="n">
        <f aca="false">AVERAGE($G223:$L223)</f>
        <v>62161</v>
      </c>
      <c r="P223" s="37" t="n">
        <f aca="false">AVERAGE($G223:$L223)+$W223</f>
        <v>62161</v>
      </c>
      <c r="Q223" s="37" t="n">
        <f aca="false">SUM(N223:P223)</f>
        <v>186483</v>
      </c>
      <c r="R223" s="21" t="n">
        <f aca="false">M223+Q223</f>
        <v>751389</v>
      </c>
      <c r="S223" s="10" t="n">
        <f aca="false">IF(COUNTIF('Presupuesto 2026'!$B:$B,$A223)=0,"",SUMIF('Presupuesto 2026'!$B:$B,$A223,'Presupuesto 2026'!$D:$D))</f>
        <v>540000</v>
      </c>
      <c r="T223" s="12" t="n">
        <f aca="false">IF(S223="","",R223-S223)</f>
        <v>211389</v>
      </c>
      <c r="U223" s="13" t="n">
        <f aca="false">IF(S223="","",IF(S223=0,"",T223/S223))</f>
        <v>0.391461111111111</v>
      </c>
      <c r="V223" s="33" t="n">
        <v>1370278</v>
      </c>
      <c r="W223" s="10" t="n">
        <f aca="false">SUMIF('Fin de anio'!$D:$D,$A223,'Fin de anio'!$C:$C)</f>
        <v>0</v>
      </c>
      <c r="X223" s="9" t="s">
        <v>248</v>
      </c>
      <c r="Y223" s="3" t="s">
        <v>249</v>
      </c>
    </row>
    <row r="224" customFormat="false" ht="15" hidden="false" customHeight="false" outlineLevel="0" collapsed="false">
      <c r="A224" s="9" t="s">
        <v>377</v>
      </c>
      <c r="B224" s="9" t="s">
        <v>372</v>
      </c>
      <c r="C224" s="9" t="s">
        <v>221</v>
      </c>
      <c r="D224" s="33" t="n">
        <v>0</v>
      </c>
      <c r="E224" s="33" t="n">
        <v>0</v>
      </c>
      <c r="F224" s="33" t="n">
        <v>125164</v>
      </c>
      <c r="G224" s="33" t="n">
        <v>222952</v>
      </c>
      <c r="H224" s="33" t="n">
        <v>0</v>
      </c>
      <c r="I224" s="33" t="n">
        <v>0</v>
      </c>
      <c r="J224" s="33" t="n">
        <v>15179</v>
      </c>
      <c r="K224" s="33" t="n">
        <v>0</v>
      </c>
      <c r="L224" s="33" t="n">
        <v>0</v>
      </c>
      <c r="M224" s="12" t="n">
        <f aca="false">SUM(D224:L224)</f>
        <v>363295</v>
      </c>
      <c r="N224" s="37" t="n">
        <f aca="false">AVERAGE($J224:$L224)</f>
        <v>5059.66666666667</v>
      </c>
      <c r="O224" s="37" t="n">
        <f aca="false">AVERAGE($J224:$L224)</f>
        <v>5059.66666666667</v>
      </c>
      <c r="P224" s="37" t="n">
        <f aca="false">AVERAGE($J224:$L224)+$W224</f>
        <v>5059.66666666667</v>
      </c>
      <c r="Q224" s="37" t="n">
        <f aca="false">SUM(N224:P224)</f>
        <v>15179</v>
      </c>
      <c r="R224" s="21" t="n">
        <f aca="false">M224+Q224</f>
        <v>378474</v>
      </c>
      <c r="S224" s="10" t="str">
        <f aca="false">IF(COUNTIF('Presupuesto 2026'!$B:$B,$A224)=0,"",SUMIF('Presupuesto 2026'!$B:$B,$A224,'Presupuesto 2026'!$D:$D))</f>
        <v/>
      </c>
      <c r="T224" s="12" t="str">
        <f aca="false">IF(S224="","",R224-S224)</f>
        <v/>
      </c>
      <c r="U224" s="13" t="str">
        <f aca="false">IF(S224="","",IF(S224=0,"",T224/S224))</f>
        <v/>
      </c>
      <c r="V224" s="33" t="n">
        <v>262914</v>
      </c>
      <c r="W224" s="10" t="n">
        <f aca="false">SUMIF('Fin de anio'!$D:$D,$A224,'Fin de anio'!$C:$C)</f>
        <v>0</v>
      </c>
      <c r="X224" s="9" t="s">
        <v>378</v>
      </c>
      <c r="Y224" s="3" t="s">
        <v>379</v>
      </c>
    </row>
    <row r="225" customFormat="false" ht="15" hidden="false" customHeight="false" outlineLevel="0" collapsed="false">
      <c r="A225" s="9" t="s">
        <v>380</v>
      </c>
      <c r="B225" s="9" t="s">
        <v>372</v>
      </c>
      <c r="C225" s="9" t="s">
        <v>221</v>
      </c>
      <c r="D225" s="33" t="n">
        <v>42378</v>
      </c>
      <c r="E225" s="33" t="n">
        <v>55386</v>
      </c>
      <c r="F225" s="33" t="n">
        <v>55886</v>
      </c>
      <c r="G225" s="33" t="n">
        <v>47886</v>
      </c>
      <c r="H225" s="33" t="n">
        <v>47886</v>
      </c>
      <c r="I225" s="33" t="n">
        <v>47886</v>
      </c>
      <c r="J225" s="33" t="n">
        <v>47886</v>
      </c>
      <c r="K225" s="33" t="n">
        <v>55386</v>
      </c>
      <c r="L225" s="33" t="n">
        <v>47886</v>
      </c>
      <c r="M225" s="12" t="n">
        <f aca="false">SUM(D225:L225)</f>
        <v>448466</v>
      </c>
      <c r="N225" s="37" t="n">
        <f aca="false">AVERAGE($G225:$L225)</f>
        <v>49136</v>
      </c>
      <c r="O225" s="37" t="n">
        <f aca="false">AVERAGE($G225:$L225)</f>
        <v>49136</v>
      </c>
      <c r="P225" s="37" t="n">
        <f aca="false">AVERAGE($G225:$L225)+$W225</f>
        <v>49136</v>
      </c>
      <c r="Q225" s="37" t="n">
        <f aca="false">SUM(N225:P225)</f>
        <v>147408</v>
      </c>
      <c r="R225" s="21" t="n">
        <f aca="false">M225+Q225</f>
        <v>595874</v>
      </c>
      <c r="S225" s="10" t="n">
        <f aca="false">IF(COUNTIF('Presupuesto 2026'!$B:$B,$A225)=0,"",SUMIF('Presupuesto 2026'!$B:$B,$A225,'Presupuesto 2026'!$D:$D))</f>
        <v>530000</v>
      </c>
      <c r="T225" s="12" t="n">
        <f aca="false">IF(S225="","",R225-S225)</f>
        <v>65874</v>
      </c>
      <c r="U225" s="13" t="n">
        <f aca="false">IF(S225="","",IF(S225=0,"",T225/S225))</f>
        <v>0.124290566037736</v>
      </c>
      <c r="V225" s="33" t="n">
        <v>532817</v>
      </c>
      <c r="W225" s="10" t="n">
        <f aca="false">SUMIF('Fin de anio'!$D:$D,$A225,'Fin de anio'!$C:$C)</f>
        <v>0</v>
      </c>
      <c r="X225" s="9" t="s">
        <v>248</v>
      </c>
      <c r="Y225" s="3" t="s">
        <v>249</v>
      </c>
    </row>
    <row r="226" customFormat="false" ht="15" hidden="false" customHeight="false" outlineLevel="0" collapsed="false">
      <c r="A226" s="9" t="s">
        <v>381</v>
      </c>
      <c r="B226" s="9" t="s">
        <v>372</v>
      </c>
      <c r="C226" s="9" t="s">
        <v>221</v>
      </c>
      <c r="D226" s="33" t="n">
        <v>25407</v>
      </c>
      <c r="E226" s="33" t="n">
        <v>18673</v>
      </c>
      <c r="F226" s="33" t="n">
        <v>18036</v>
      </c>
      <c r="G226" s="33" t="n">
        <v>25658</v>
      </c>
      <c r="H226" s="33" t="n">
        <v>10112</v>
      </c>
      <c r="I226" s="33" t="n">
        <v>28967</v>
      </c>
      <c r="J226" s="33" t="n">
        <v>22325</v>
      </c>
      <c r="K226" s="33" t="n">
        <v>50934</v>
      </c>
      <c r="L226" s="33" t="n">
        <v>12591</v>
      </c>
      <c r="M226" s="12" t="n">
        <f aca="false">SUM(D226:L226)</f>
        <v>212703</v>
      </c>
      <c r="N226" s="37" t="n">
        <f aca="false">AVERAGE($G226:$L226)</f>
        <v>25097.8333333333</v>
      </c>
      <c r="O226" s="37" t="n">
        <f aca="false">AVERAGE($G226:$L226)</f>
        <v>25097.8333333333</v>
      </c>
      <c r="P226" s="37" t="n">
        <f aca="false">AVERAGE($G226:$L226)+$W226</f>
        <v>25097.8333333333</v>
      </c>
      <c r="Q226" s="37" t="n">
        <f aca="false">SUM(N226:P226)</f>
        <v>75293.5</v>
      </c>
      <c r="R226" s="21" t="n">
        <f aca="false">M226+Q226</f>
        <v>287996.5</v>
      </c>
      <c r="S226" s="10" t="n">
        <f aca="false">IF(COUNTIF('Presupuesto 2026'!$B:$B,$A226)=0,"",SUMIF('Presupuesto 2026'!$B:$B,$A226,'Presupuesto 2026'!$D:$D))</f>
        <v>600000</v>
      </c>
      <c r="T226" s="12" t="n">
        <f aca="false">IF(S226="","",R226-S226)</f>
        <v>-312003.5</v>
      </c>
      <c r="U226" s="13" t="n">
        <f aca="false">IF(S226="","",IF(S226=0,"",T226/S226))</f>
        <v>-0.520005833333333</v>
      </c>
      <c r="V226" s="33" t="n">
        <v>517254</v>
      </c>
      <c r="W226" s="10" t="n">
        <f aca="false">SUMIF('Fin de anio'!$D:$D,$A226,'Fin de anio'!$C:$C)</f>
        <v>0</v>
      </c>
      <c r="X226" s="9" t="s">
        <v>248</v>
      </c>
      <c r="Y226" s="3" t="s">
        <v>249</v>
      </c>
    </row>
    <row r="227" customFormat="false" ht="15" hidden="false" customHeight="false" outlineLevel="0" collapsed="false">
      <c r="A227" s="9" t="s">
        <v>382</v>
      </c>
      <c r="B227" s="9" t="s">
        <v>372</v>
      </c>
      <c r="C227" s="9" t="s">
        <v>221</v>
      </c>
      <c r="D227" s="33" t="n">
        <v>3990</v>
      </c>
      <c r="E227" s="33" t="n">
        <v>0</v>
      </c>
      <c r="F227" s="33" t="n">
        <v>0</v>
      </c>
      <c r="G227" s="33" t="n">
        <v>0</v>
      </c>
      <c r="H227" s="33" t="n">
        <v>11514</v>
      </c>
      <c r="I227" s="33" t="n">
        <v>0</v>
      </c>
      <c r="J227" s="33" t="n">
        <v>0</v>
      </c>
      <c r="K227" s="33" t="n">
        <v>0</v>
      </c>
      <c r="L227" s="33" t="n">
        <v>0</v>
      </c>
      <c r="M227" s="12" t="n">
        <f aca="false">SUM(D227:L227)</f>
        <v>15504</v>
      </c>
      <c r="N227" s="37" t="n">
        <f aca="false">AVERAGE($G227:$L227)</f>
        <v>1919</v>
      </c>
      <c r="O227" s="37" t="n">
        <f aca="false">AVERAGE($G227:$L227)</f>
        <v>1919</v>
      </c>
      <c r="P227" s="37" t="n">
        <f aca="false">AVERAGE($G227:$L227)+$W227</f>
        <v>1919</v>
      </c>
      <c r="Q227" s="37" t="n">
        <f aca="false">SUM(N227:P227)</f>
        <v>5757</v>
      </c>
      <c r="R227" s="21" t="n">
        <f aca="false">M227+Q227</f>
        <v>21261</v>
      </c>
      <c r="S227" s="10" t="n">
        <f aca="false">IF(COUNTIF('Presupuesto 2026'!$B:$B,$A227)=0,"",SUMIF('Presupuesto 2026'!$B:$B,$A227,'Presupuesto 2026'!$D:$D))</f>
        <v>0</v>
      </c>
      <c r="T227" s="12" t="n">
        <f aca="false">IF(S227="","",R227-S227)</f>
        <v>21261</v>
      </c>
      <c r="U227" s="13" t="str">
        <f aca="false">IF(S227="","",IF(S227=0,"",T227/S227))</f>
        <v/>
      </c>
      <c r="W227" s="10" t="n">
        <f aca="false">SUMIF('Fin de anio'!$D:$D,$A227,'Fin de anio'!$C:$C)</f>
        <v>0</v>
      </c>
      <c r="X227" s="9" t="s">
        <v>248</v>
      </c>
      <c r="Y227" s="3" t="s">
        <v>249</v>
      </c>
    </row>
    <row r="228" customFormat="false" ht="15" hidden="false" customHeight="false" outlineLevel="0" collapsed="false">
      <c r="A228" s="9" t="s">
        <v>383</v>
      </c>
      <c r="B228" s="9" t="s">
        <v>372</v>
      </c>
      <c r="C228" s="9" t="s">
        <v>221</v>
      </c>
      <c r="D228" s="33" t="n">
        <v>37857</v>
      </c>
      <c r="E228" s="33" t="n">
        <v>31088</v>
      </c>
      <c r="F228" s="33" t="n">
        <v>29696</v>
      </c>
      <c r="G228" s="33" t="n">
        <v>32480</v>
      </c>
      <c r="H228" s="33" t="n">
        <v>35728</v>
      </c>
      <c r="I228" s="33" t="n">
        <v>77280</v>
      </c>
      <c r="J228" s="33" t="n">
        <v>79050</v>
      </c>
      <c r="K228" s="33" t="n">
        <v>10400</v>
      </c>
      <c r="L228" s="33" t="n">
        <v>80756</v>
      </c>
      <c r="M228" s="12" t="n">
        <f aca="false">SUM(D228:L228)</f>
        <v>414335</v>
      </c>
      <c r="N228" s="37" t="n">
        <f aca="false">AVERAGE($G228:$L228)</f>
        <v>52615.6666666667</v>
      </c>
      <c r="O228" s="37" t="n">
        <f aca="false">AVERAGE($G228:$L228)</f>
        <v>52615.6666666667</v>
      </c>
      <c r="P228" s="37" t="n">
        <f aca="false">AVERAGE($G228:$L228)+$W228</f>
        <v>86615.6666666667</v>
      </c>
      <c r="Q228" s="37" t="n">
        <f aca="false">SUM(N228:P228)</f>
        <v>191847</v>
      </c>
      <c r="R228" s="21" t="n">
        <f aca="false">M228+Q228</f>
        <v>606182</v>
      </c>
      <c r="S228" s="10" t="n">
        <f aca="false">IF(COUNTIF('Presupuesto 2026'!$B:$B,$A228)=0,"",SUMIF('Presupuesto 2026'!$B:$B,$A228,'Presupuesto 2026'!$D:$D))</f>
        <v>274400</v>
      </c>
      <c r="T228" s="12" t="n">
        <f aca="false">IF(S228="","",R228-S228)</f>
        <v>331782</v>
      </c>
      <c r="U228" s="13" t="n">
        <f aca="false">IF(S228="","",IF(S228=0,"",T228/S228))</f>
        <v>1.20911807580175</v>
      </c>
      <c r="V228" s="33" t="n">
        <v>492718</v>
      </c>
      <c r="W228" s="10" t="n">
        <f aca="false">SUMIF('Fin de anio'!$D:$D,$A228,'Fin de anio'!$C:$C)</f>
        <v>34000</v>
      </c>
      <c r="X228" s="9" t="s">
        <v>248</v>
      </c>
      <c r="Y228" s="3" t="s">
        <v>249</v>
      </c>
    </row>
    <row r="229" customFormat="false" ht="15" hidden="false" customHeight="false" outlineLevel="0" collapsed="false">
      <c r="A229" s="9" t="s">
        <v>384</v>
      </c>
      <c r="B229" s="9" t="s">
        <v>372</v>
      </c>
      <c r="C229" s="9" t="s">
        <v>221</v>
      </c>
      <c r="D229" s="33" t="n">
        <v>51075</v>
      </c>
      <c r="E229" s="33" t="n">
        <v>102304</v>
      </c>
      <c r="F229" s="33" t="n">
        <v>55668</v>
      </c>
      <c r="G229" s="33" t="n">
        <v>0</v>
      </c>
      <c r="H229" s="33" t="n">
        <v>0</v>
      </c>
      <c r="I229" s="33" t="n">
        <v>50890</v>
      </c>
      <c r="J229" s="33" t="n">
        <v>13377</v>
      </c>
      <c r="K229" s="33" t="n">
        <v>24125</v>
      </c>
      <c r="L229" s="33" t="n">
        <v>903</v>
      </c>
      <c r="M229" s="12" t="n">
        <f aca="false">SUM(D229:L229)</f>
        <v>298342</v>
      </c>
      <c r="N229" s="37" t="n">
        <f aca="false">AVERAGE($G229:$L229)</f>
        <v>14882.5</v>
      </c>
      <c r="O229" s="37" t="n">
        <f aca="false">AVERAGE($G229:$L229)</f>
        <v>14882.5</v>
      </c>
      <c r="P229" s="37" t="n">
        <f aca="false">AVERAGE($G229:$L229)+$W229</f>
        <v>342882.5</v>
      </c>
      <c r="Q229" s="37" t="n">
        <f aca="false">SUM(N229:P229)</f>
        <v>372647.5</v>
      </c>
      <c r="R229" s="21" t="n">
        <f aca="false">M229+Q229</f>
        <v>670989.5</v>
      </c>
      <c r="S229" s="10" t="n">
        <f aca="false">IF(COUNTIF('Presupuesto 2026'!$B:$B,$A229)=0,"",SUMIF('Presupuesto 2026'!$B:$B,$A229,'Presupuesto 2026'!$D:$D))</f>
        <v>250000</v>
      </c>
      <c r="T229" s="12" t="n">
        <f aca="false">IF(S229="","",R229-S229)</f>
        <v>420989.5</v>
      </c>
      <c r="U229" s="13" t="n">
        <f aca="false">IF(S229="","",IF(S229=0,"",T229/S229))</f>
        <v>1.683958</v>
      </c>
      <c r="V229" s="33" t="n">
        <v>475333</v>
      </c>
      <c r="W229" s="10" t="n">
        <f aca="false">SUMIF('Fin de anio'!$D:$D,$A229,'Fin de anio'!$C:$C)</f>
        <v>328000</v>
      </c>
      <c r="X229" s="9" t="s">
        <v>248</v>
      </c>
      <c r="Y229" s="3" t="s">
        <v>249</v>
      </c>
    </row>
    <row r="230" customFormat="false" ht="15" hidden="false" customHeight="false" outlineLevel="0" collapsed="false">
      <c r="A230" s="9" t="s">
        <v>385</v>
      </c>
      <c r="B230" s="9" t="s">
        <v>372</v>
      </c>
      <c r="C230" s="9" t="s">
        <v>221</v>
      </c>
      <c r="D230" s="33" t="n">
        <v>0</v>
      </c>
      <c r="E230" s="33" t="n">
        <v>0</v>
      </c>
      <c r="F230" s="33" t="n">
        <v>0</v>
      </c>
      <c r="G230" s="33" t="n">
        <v>0</v>
      </c>
      <c r="H230" s="33" t="n">
        <v>0</v>
      </c>
      <c r="I230" s="33" t="n">
        <v>0</v>
      </c>
      <c r="J230" s="33" t="n">
        <v>6974</v>
      </c>
      <c r="K230" s="33" t="n">
        <v>0</v>
      </c>
      <c r="L230" s="33" t="n">
        <v>3668</v>
      </c>
      <c r="M230" s="12" t="n">
        <f aca="false">SUM(D230:L230)</f>
        <v>10642</v>
      </c>
      <c r="N230" s="37" t="n">
        <f aca="false">AVERAGE($G230:$L230)</f>
        <v>1773.66666666667</v>
      </c>
      <c r="O230" s="37" t="n">
        <f aca="false">AVERAGE($G230:$L230)</f>
        <v>1773.66666666667</v>
      </c>
      <c r="P230" s="37" t="n">
        <f aca="false">AVERAGE($G230:$L230)+$W230</f>
        <v>1773.66666666667</v>
      </c>
      <c r="Q230" s="37" t="n">
        <f aca="false">SUM(N230:P230)</f>
        <v>5321</v>
      </c>
      <c r="R230" s="21" t="n">
        <f aca="false">M230+Q230</f>
        <v>15963</v>
      </c>
      <c r="S230" s="10" t="n">
        <f aca="false">IF(COUNTIF('Presupuesto 2026'!$B:$B,$A230)=0,"",SUMIF('Presupuesto 2026'!$B:$B,$A230,'Presupuesto 2026'!$D:$D))</f>
        <v>120000</v>
      </c>
      <c r="T230" s="12" t="n">
        <f aca="false">IF(S230="","",R230-S230)</f>
        <v>-104037</v>
      </c>
      <c r="U230" s="13" t="n">
        <f aca="false">IF(S230="","",IF(S230=0,"",T230/S230))</f>
        <v>-0.866975</v>
      </c>
      <c r="V230" s="33" t="n">
        <v>63800</v>
      </c>
      <c r="W230" s="10" t="n">
        <f aca="false">SUMIF('Fin de anio'!$D:$D,$A230,'Fin de anio'!$C:$C)</f>
        <v>0</v>
      </c>
      <c r="X230" s="9" t="s">
        <v>248</v>
      </c>
      <c r="Y230" s="3" t="s">
        <v>249</v>
      </c>
    </row>
    <row r="231" customFormat="false" ht="15" hidden="false" customHeight="false" outlineLevel="0" collapsed="false">
      <c r="A231" s="9" t="s">
        <v>386</v>
      </c>
      <c r="B231" s="9" t="s">
        <v>372</v>
      </c>
      <c r="C231" s="9" t="s">
        <v>221</v>
      </c>
      <c r="D231" s="33" t="n">
        <v>65242</v>
      </c>
      <c r="E231" s="33" t="n">
        <v>20814</v>
      </c>
      <c r="F231" s="33" t="n">
        <v>16281</v>
      </c>
      <c r="G231" s="33" t="n">
        <v>16800</v>
      </c>
      <c r="H231" s="33" t="n">
        <v>16251</v>
      </c>
      <c r="I231" s="33" t="n">
        <v>16085</v>
      </c>
      <c r="J231" s="33" t="n">
        <v>24423</v>
      </c>
      <c r="K231" s="33" t="n">
        <v>31964</v>
      </c>
      <c r="L231" s="33" t="n">
        <v>15655</v>
      </c>
      <c r="M231" s="12" t="n">
        <f aca="false">SUM(D231:L231)</f>
        <v>223515</v>
      </c>
      <c r="N231" s="37" t="n">
        <f aca="false">AVERAGE($G231:$L231)</f>
        <v>20196.3333333333</v>
      </c>
      <c r="O231" s="37" t="n">
        <f aca="false">AVERAGE($G231:$L231)</f>
        <v>20196.3333333333</v>
      </c>
      <c r="P231" s="37" t="n">
        <f aca="false">AVERAGE($G231:$L231)+$W231</f>
        <v>28730.7933333333</v>
      </c>
      <c r="Q231" s="37" t="n">
        <f aca="false">SUM(N231:P231)</f>
        <v>69123.46</v>
      </c>
      <c r="R231" s="21" t="n">
        <f aca="false">M231+Q231</f>
        <v>292638.46</v>
      </c>
      <c r="S231" s="10" t="n">
        <f aca="false">IF(COUNTIF('Presupuesto 2026'!$B:$B,$A231)=0,"",SUMIF('Presupuesto 2026'!$B:$B,$A231,'Presupuesto 2026'!$D:$D))</f>
        <v>200000</v>
      </c>
      <c r="T231" s="12" t="n">
        <f aca="false">IF(S231="","",R231-S231)</f>
        <v>92638.46</v>
      </c>
      <c r="U231" s="13" t="n">
        <f aca="false">IF(S231="","",IF(S231=0,"",T231/S231))</f>
        <v>0.4631923</v>
      </c>
      <c r="V231" s="33" t="n">
        <v>454840</v>
      </c>
      <c r="W231" s="10" t="n">
        <f aca="false">SUMIF('Fin de anio'!$D:$D,$A231,'Fin de anio'!$C:$C)</f>
        <v>8534.46</v>
      </c>
      <c r="X231" s="9" t="s">
        <v>248</v>
      </c>
      <c r="Y231" s="3" t="s">
        <v>249</v>
      </c>
    </row>
    <row r="232" customFormat="false" ht="15" hidden="false" customHeight="false" outlineLevel="0" collapsed="false">
      <c r="A232" s="9" t="s">
        <v>387</v>
      </c>
      <c r="B232" s="9" t="s">
        <v>372</v>
      </c>
      <c r="C232" s="9" t="s">
        <v>221</v>
      </c>
      <c r="D232" s="33" t="n">
        <v>0</v>
      </c>
      <c r="E232" s="33" t="n">
        <v>4725</v>
      </c>
      <c r="F232" s="33" t="n">
        <v>13959</v>
      </c>
      <c r="G232" s="33" t="n">
        <v>7511</v>
      </c>
      <c r="H232" s="33" t="n">
        <v>3722</v>
      </c>
      <c r="I232" s="33" t="n">
        <v>54124</v>
      </c>
      <c r="J232" s="33" t="n">
        <v>17580</v>
      </c>
      <c r="K232" s="33" t="n">
        <v>0</v>
      </c>
      <c r="L232" s="33" t="n">
        <v>35359</v>
      </c>
      <c r="M232" s="12" t="n">
        <f aca="false">SUM(D232:L232)</f>
        <v>136980</v>
      </c>
      <c r="N232" s="37" t="n">
        <f aca="false">AVERAGE($G232:$L232)</f>
        <v>19716</v>
      </c>
      <c r="O232" s="37" t="n">
        <f aca="false">AVERAGE($G232:$L232)</f>
        <v>19716</v>
      </c>
      <c r="P232" s="37" t="n">
        <f aca="false">AVERAGE($G232:$L232)+$W232</f>
        <v>33216</v>
      </c>
      <c r="Q232" s="37" t="n">
        <f aca="false">SUM(N232:P232)</f>
        <v>72648</v>
      </c>
      <c r="R232" s="21" t="n">
        <f aca="false">M232+Q232</f>
        <v>209628</v>
      </c>
      <c r="S232" s="10" t="n">
        <f aca="false">IF(COUNTIF('Presupuesto 2026'!$B:$B,$A232)=0,"",SUMIF('Presupuesto 2026'!$B:$B,$A232,'Presupuesto 2026'!$D:$D))</f>
        <v>100000</v>
      </c>
      <c r="T232" s="12" t="n">
        <f aca="false">IF(S232="","",R232-S232)</f>
        <v>109628</v>
      </c>
      <c r="U232" s="13" t="n">
        <f aca="false">IF(S232="","",IF(S232=0,"",T232/S232))</f>
        <v>1.09628</v>
      </c>
      <c r="V232" s="33" t="n">
        <v>105851</v>
      </c>
      <c r="W232" s="10" t="n">
        <f aca="false">SUMIF('Fin de anio'!$D:$D,$A232,'Fin de anio'!$C:$C)</f>
        <v>13500</v>
      </c>
      <c r="X232" s="9" t="s">
        <v>248</v>
      </c>
      <c r="Y232" s="3" t="s">
        <v>249</v>
      </c>
    </row>
    <row r="233" customFormat="false" ht="15" hidden="false" customHeight="false" outlineLevel="0" collapsed="false">
      <c r="A233" s="9" t="s">
        <v>388</v>
      </c>
      <c r="B233" s="9" t="s">
        <v>372</v>
      </c>
      <c r="C233" s="9" t="s">
        <v>221</v>
      </c>
      <c r="D233" s="33" t="n">
        <v>0</v>
      </c>
      <c r="E233" s="33" t="n">
        <v>0</v>
      </c>
      <c r="F233" s="33" t="n">
        <v>0</v>
      </c>
      <c r="G233" s="33" t="n">
        <v>0</v>
      </c>
      <c r="H233" s="33" t="n">
        <v>0</v>
      </c>
      <c r="I233" s="33" t="n">
        <v>0</v>
      </c>
      <c r="J233" s="33" t="n">
        <v>7888</v>
      </c>
      <c r="K233" s="33" t="n">
        <v>0</v>
      </c>
      <c r="L233" s="33" t="n">
        <v>37700</v>
      </c>
      <c r="M233" s="12" t="n">
        <f aca="false">SUM(D233:L233)</f>
        <v>45588</v>
      </c>
      <c r="N233" s="37" t="n">
        <f aca="false">AVERAGE($G233:$L233)</f>
        <v>7598</v>
      </c>
      <c r="O233" s="37" t="n">
        <f aca="false">AVERAGE($G233:$L233)</f>
        <v>7598</v>
      </c>
      <c r="P233" s="37" t="n">
        <f aca="false">AVERAGE($G233:$L233)+$W233</f>
        <v>537598</v>
      </c>
      <c r="Q233" s="37" t="n">
        <f aca="false">SUM(N233:P233)</f>
        <v>552794</v>
      </c>
      <c r="R233" s="21" t="n">
        <f aca="false">M233+Q233</f>
        <v>598382</v>
      </c>
      <c r="S233" s="10" t="n">
        <f aca="false">IF(COUNTIF('Presupuesto 2026'!$B:$B,$A233)=0,"",SUMIF('Presupuesto 2026'!$B:$B,$A233,'Presupuesto 2026'!$D:$D))</f>
        <v>750000</v>
      </c>
      <c r="T233" s="12" t="n">
        <f aca="false">IF(S233="","",R233-S233)</f>
        <v>-151618</v>
      </c>
      <c r="U233" s="13" t="n">
        <f aca="false">IF(S233="","",IF(S233=0,"",T233/S233))</f>
        <v>-0.202157333333333</v>
      </c>
      <c r="V233" s="33" t="n">
        <v>164527</v>
      </c>
      <c r="W233" s="10" t="n">
        <f aca="false">SUMIF('Fin de anio'!$D:$D,$A233,'Fin de anio'!$C:$C)</f>
        <v>530000</v>
      </c>
      <c r="X233" s="9" t="s">
        <v>248</v>
      </c>
      <c r="Y233" s="3" t="s">
        <v>249</v>
      </c>
    </row>
    <row r="234" customFormat="false" ht="15" hidden="false" customHeight="false" outlineLevel="0" collapsed="false">
      <c r="A234" s="9" t="s">
        <v>389</v>
      </c>
      <c r="B234" s="9" t="s">
        <v>372</v>
      </c>
      <c r="C234" s="9" t="s">
        <v>221</v>
      </c>
      <c r="D234" s="33" t="n">
        <v>191000</v>
      </c>
      <c r="E234" s="33" t="n">
        <v>0</v>
      </c>
      <c r="F234" s="33" t="n">
        <v>0</v>
      </c>
      <c r="G234" s="33" t="n">
        <v>0</v>
      </c>
      <c r="H234" s="33" t="n">
        <v>0</v>
      </c>
      <c r="I234" s="33" t="n">
        <v>0</v>
      </c>
      <c r="J234" s="33" t="n">
        <v>0</v>
      </c>
      <c r="K234" s="33" t="n">
        <v>0</v>
      </c>
      <c r="L234" s="33" t="n">
        <v>0</v>
      </c>
      <c r="M234" s="12" t="n">
        <f aca="false">SUM(D234:L234)</f>
        <v>191000</v>
      </c>
      <c r="N234" s="37" t="n">
        <f aca="false">0</f>
        <v>0</v>
      </c>
      <c r="O234" s="37" t="n">
        <f aca="false">0</f>
        <v>0</v>
      </c>
      <c r="P234" s="37" t="n">
        <f aca="false">0+$W234</f>
        <v>0</v>
      </c>
      <c r="Q234" s="37" t="n">
        <f aca="false">SUM(N234:P234)</f>
        <v>0</v>
      </c>
      <c r="R234" s="21" t="n">
        <f aca="false">M234+Q234</f>
        <v>191000</v>
      </c>
      <c r="S234" s="10" t="str">
        <f aca="false">IF(COUNTIF('Presupuesto 2026'!$B:$B,$A234)=0,"",SUMIF('Presupuesto 2026'!$B:$B,$A234,'Presupuesto 2026'!$D:$D))</f>
        <v/>
      </c>
      <c r="T234" s="12" t="str">
        <f aca="false">IF(S234="","",R234-S234)</f>
        <v/>
      </c>
      <c r="U234" s="13" t="str">
        <f aca="false">IF(S234="","",IF(S234=0,"",T234/S234))</f>
        <v/>
      </c>
      <c r="V234" s="33" t="n">
        <v>2142249</v>
      </c>
      <c r="W234" s="10" t="n">
        <f aca="false">SUMIF('Fin de anio'!$D:$D,$A234,'Fin de anio'!$C:$C)</f>
        <v>0</v>
      </c>
      <c r="X234" s="9" t="s">
        <v>390</v>
      </c>
      <c r="Y234" s="3" t="s">
        <v>391</v>
      </c>
    </row>
    <row r="235" customFormat="false" ht="15" hidden="false" customHeight="false" outlineLevel="0" collapsed="false">
      <c r="A235" s="9" t="s">
        <v>392</v>
      </c>
      <c r="B235" s="9" t="s">
        <v>147</v>
      </c>
      <c r="C235" s="9" t="s">
        <v>237</v>
      </c>
      <c r="D235" s="33" t="n">
        <v>0</v>
      </c>
      <c r="E235" s="33" t="n">
        <v>0</v>
      </c>
      <c r="F235" s="33" t="n">
        <v>78066</v>
      </c>
      <c r="G235" s="33" t="n">
        <v>78066</v>
      </c>
      <c r="H235" s="33" t="n">
        <v>0</v>
      </c>
      <c r="I235" s="33" t="n">
        <v>0</v>
      </c>
      <c r="J235" s="33" t="n">
        <v>0</v>
      </c>
      <c r="K235" s="33" t="n">
        <v>0</v>
      </c>
      <c r="L235" s="33" t="n">
        <v>0</v>
      </c>
      <c r="M235" s="12" t="n">
        <f aca="false">SUM(D235:L235)</f>
        <v>156132</v>
      </c>
      <c r="N235" s="37" t="n">
        <f aca="false">0</f>
        <v>0</v>
      </c>
      <c r="O235" s="37" t="n">
        <f aca="false">0</f>
        <v>0</v>
      </c>
      <c r="P235" s="37" t="n">
        <f aca="false">0+$W235</f>
        <v>0</v>
      </c>
      <c r="Q235" s="37" t="n">
        <f aca="false">SUM(N235:P235)</f>
        <v>0</v>
      </c>
      <c r="R235" s="21" t="n">
        <f aca="false">M235+Q235</f>
        <v>156132</v>
      </c>
      <c r="S235" s="10" t="str">
        <f aca="false">IF(COUNTIF('Presupuesto 2026'!$B:$B,$A235)=0,"",SUMIF('Presupuesto 2026'!$B:$B,$A235,'Presupuesto 2026'!$D:$D))</f>
        <v/>
      </c>
      <c r="T235" s="12" t="str">
        <f aca="false">IF(S235="","",R235-S235)</f>
        <v/>
      </c>
      <c r="U235" s="13" t="str">
        <f aca="false">IF(S235="","",IF(S235=0,"",T235/S235))</f>
        <v/>
      </c>
      <c r="V235" s="33" t="n">
        <v>8700</v>
      </c>
      <c r="W235" s="10" t="n">
        <f aca="false">SUMIF('Fin de anio'!$D:$D,$A235,'Fin de anio'!$C:$C)</f>
        <v>0</v>
      </c>
      <c r="X235" s="9" t="s">
        <v>393</v>
      </c>
      <c r="Y235" s="3" t="s">
        <v>394</v>
      </c>
    </row>
    <row r="236" customFormat="false" ht="15" hidden="false" customHeight="false" outlineLevel="0" collapsed="false">
      <c r="A236" s="9" t="s">
        <v>395</v>
      </c>
      <c r="B236" s="9" t="s">
        <v>372</v>
      </c>
      <c r="C236" s="9" t="s">
        <v>221</v>
      </c>
      <c r="D236" s="33" t="n">
        <v>14747</v>
      </c>
      <c r="E236" s="33" t="n">
        <v>0</v>
      </c>
      <c r="F236" s="33" t="n">
        <v>0</v>
      </c>
      <c r="G236" s="33" t="n">
        <v>8344</v>
      </c>
      <c r="H236" s="33" t="n">
        <v>118</v>
      </c>
      <c r="I236" s="33" t="n">
        <v>7421</v>
      </c>
      <c r="J236" s="33" t="n">
        <v>2610</v>
      </c>
      <c r="K236" s="33" t="n">
        <v>8108</v>
      </c>
      <c r="L236" s="33" t="n">
        <v>6474</v>
      </c>
      <c r="M236" s="12" t="n">
        <f aca="false">SUM(D236:L236)</f>
        <v>47822</v>
      </c>
      <c r="N236" s="37" t="n">
        <f aca="false">AVERAGE($G236:$L236)</f>
        <v>5512.5</v>
      </c>
      <c r="O236" s="37" t="n">
        <f aca="false">AVERAGE($G236:$L236)</f>
        <v>5512.5</v>
      </c>
      <c r="P236" s="37" t="n">
        <f aca="false">AVERAGE($G236:$L236)+$W236</f>
        <v>5512.5</v>
      </c>
      <c r="Q236" s="37" t="n">
        <f aca="false">SUM(N236:P236)</f>
        <v>16537.5</v>
      </c>
      <c r="R236" s="21" t="n">
        <f aca="false">M236+Q236</f>
        <v>64359.5</v>
      </c>
      <c r="S236" s="10" t="n">
        <f aca="false">IF(COUNTIF('Presupuesto 2026'!$B:$B,$A236)=0,"",SUMIF('Presupuesto 2026'!$B:$B,$A236,'Presupuesto 2026'!$D:$D))</f>
        <v>200000</v>
      </c>
      <c r="T236" s="12" t="n">
        <f aca="false">IF(S236="","",R236-S236)</f>
        <v>-135640.5</v>
      </c>
      <c r="U236" s="13" t="n">
        <f aca="false">IF(S236="","",IF(S236=0,"",T236/S236))</f>
        <v>-0.6782025</v>
      </c>
      <c r="V236" s="33" t="n">
        <v>261382</v>
      </c>
      <c r="W236" s="10" t="n">
        <f aca="false">SUMIF('Fin de anio'!$D:$D,$A236,'Fin de anio'!$C:$C)</f>
        <v>0</v>
      </c>
      <c r="X236" s="9" t="s">
        <v>248</v>
      </c>
      <c r="Y236" s="3" t="s">
        <v>249</v>
      </c>
    </row>
    <row r="237" customFormat="false" ht="15" hidden="false" customHeight="false" outlineLevel="0" collapsed="false">
      <c r="A237" s="9" t="s">
        <v>396</v>
      </c>
      <c r="B237" s="9" t="s">
        <v>372</v>
      </c>
      <c r="C237" s="9" t="s">
        <v>221</v>
      </c>
      <c r="D237" s="33" t="n">
        <v>0</v>
      </c>
      <c r="E237" s="33" t="n">
        <v>0</v>
      </c>
      <c r="F237" s="33" t="n">
        <v>0</v>
      </c>
      <c r="G237" s="33" t="n">
        <v>0</v>
      </c>
      <c r="H237" s="33" t="n">
        <v>0</v>
      </c>
      <c r="I237" s="33" t="n">
        <v>0</v>
      </c>
      <c r="J237" s="33" t="n">
        <v>0</v>
      </c>
      <c r="K237" s="33" t="n">
        <v>0</v>
      </c>
      <c r="L237" s="33" t="n">
        <v>3700</v>
      </c>
      <c r="M237" s="12" t="n">
        <f aca="false">SUM(D237:L237)</f>
        <v>3700</v>
      </c>
      <c r="N237" s="37" t="n">
        <f aca="false">AVERAGE($G237:$L237)</f>
        <v>616.666666666667</v>
      </c>
      <c r="O237" s="37" t="n">
        <f aca="false">AVERAGE($G237:$L237)</f>
        <v>616.666666666667</v>
      </c>
      <c r="P237" s="37" t="n">
        <f aca="false">AVERAGE($G237:$L237)+$W237</f>
        <v>8616.66666666667</v>
      </c>
      <c r="Q237" s="37" t="n">
        <f aca="false">SUM(N237:P237)</f>
        <v>9850</v>
      </c>
      <c r="R237" s="21" t="n">
        <f aca="false">M237+Q237</f>
        <v>13550</v>
      </c>
      <c r="S237" s="10" t="n">
        <f aca="false">IF(COUNTIF('Presupuesto 2026'!$B:$B,$A237)=0,"",SUMIF('Presupuesto 2026'!$B:$B,$A237,'Presupuesto 2026'!$D:$D))</f>
        <v>50000</v>
      </c>
      <c r="T237" s="12" t="n">
        <f aca="false">IF(S237="","",R237-S237)</f>
        <v>-36450</v>
      </c>
      <c r="U237" s="13" t="n">
        <f aca="false">IF(S237="","",IF(S237=0,"",T237/S237))</f>
        <v>-0.729</v>
      </c>
      <c r="V237" s="33" t="n">
        <v>23139</v>
      </c>
      <c r="W237" s="10" t="n">
        <f aca="false">SUMIF('Fin de anio'!$D:$D,$A237,'Fin de anio'!$C:$C)</f>
        <v>8000</v>
      </c>
      <c r="X237" s="9" t="s">
        <v>248</v>
      </c>
      <c r="Y237" s="3" t="s">
        <v>249</v>
      </c>
    </row>
    <row r="238" customFormat="false" ht="15" hidden="false" customHeight="false" outlineLevel="0" collapsed="false">
      <c r="A238" s="9" t="s">
        <v>397</v>
      </c>
      <c r="B238" s="9" t="s">
        <v>372</v>
      </c>
      <c r="C238" s="9" t="s">
        <v>221</v>
      </c>
      <c r="D238" s="33" t="n">
        <v>0</v>
      </c>
      <c r="E238" s="33" t="n">
        <v>459</v>
      </c>
      <c r="F238" s="33" t="n">
        <v>0</v>
      </c>
      <c r="G238" s="33" t="n">
        <v>20790</v>
      </c>
      <c r="H238" s="33" t="n">
        <v>0</v>
      </c>
      <c r="I238" s="33" t="n">
        <v>0</v>
      </c>
      <c r="J238" s="33" t="n">
        <v>0</v>
      </c>
      <c r="K238" s="33" t="n">
        <v>0</v>
      </c>
      <c r="L238" s="33" t="n">
        <v>15308</v>
      </c>
      <c r="M238" s="12" t="n">
        <f aca="false">SUM(D238:L238)</f>
        <v>36557</v>
      </c>
      <c r="N238" s="37" t="n">
        <f aca="false">AVERAGE($G238:$L238)</f>
        <v>6016.33333333333</v>
      </c>
      <c r="O238" s="37" t="n">
        <f aca="false">AVERAGE($G238:$L238)</f>
        <v>6016.33333333333</v>
      </c>
      <c r="P238" s="37" t="n">
        <f aca="false">AVERAGE($G238:$L238)+$W238</f>
        <v>32246.3333333333</v>
      </c>
      <c r="Q238" s="37" t="n">
        <f aca="false">SUM(N238:P238)</f>
        <v>44279</v>
      </c>
      <c r="R238" s="21" t="n">
        <f aca="false">M238+Q238</f>
        <v>80836</v>
      </c>
      <c r="S238" s="10" t="n">
        <f aca="false">IF(COUNTIF('Presupuesto 2026'!$B:$B,$A238)=0,"",SUMIF('Presupuesto 2026'!$B:$B,$A238,'Presupuesto 2026'!$D:$D))</f>
        <v>70000</v>
      </c>
      <c r="T238" s="12" t="n">
        <f aca="false">IF(S238="","",R238-S238)</f>
        <v>10836</v>
      </c>
      <c r="U238" s="13" t="n">
        <f aca="false">IF(S238="","",IF(S238=0,"",T238/S238))</f>
        <v>0.1548</v>
      </c>
      <c r="V238" s="33" t="n">
        <v>20800</v>
      </c>
      <c r="W238" s="10" t="n">
        <f aca="false">SUMIF('Fin de anio'!$D:$D,$A238,'Fin de anio'!$C:$C)</f>
        <v>26230</v>
      </c>
      <c r="X238" s="9" t="s">
        <v>248</v>
      </c>
      <c r="Y238" s="3" t="s">
        <v>249</v>
      </c>
    </row>
    <row r="239" customFormat="false" ht="15" hidden="false" customHeight="false" outlineLevel="0" collapsed="false">
      <c r="A239" s="9" t="s">
        <v>398</v>
      </c>
      <c r="B239" s="9" t="s">
        <v>372</v>
      </c>
      <c r="C239" s="9" t="s">
        <v>221</v>
      </c>
      <c r="D239" s="33" t="n">
        <v>0</v>
      </c>
      <c r="E239" s="33" t="n">
        <v>0</v>
      </c>
      <c r="F239" s="33" t="n">
        <v>0</v>
      </c>
      <c r="G239" s="33" t="n">
        <v>1340</v>
      </c>
      <c r="H239" s="33" t="n">
        <v>0</v>
      </c>
      <c r="I239" s="33" t="n">
        <v>3251</v>
      </c>
      <c r="J239" s="33" t="n">
        <v>2500</v>
      </c>
      <c r="K239" s="33" t="n">
        <v>0</v>
      </c>
      <c r="L239" s="33" t="n">
        <v>0</v>
      </c>
      <c r="M239" s="12" t="n">
        <f aca="false">SUM(D239:L239)</f>
        <v>7091</v>
      </c>
      <c r="N239" s="37" t="n">
        <f aca="false">AVERAGE($G239:$L239)</f>
        <v>1181.83333333333</v>
      </c>
      <c r="O239" s="37" t="n">
        <f aca="false">AVERAGE($G239:$L239)</f>
        <v>1181.83333333333</v>
      </c>
      <c r="P239" s="37" t="n">
        <f aca="false">AVERAGE($G239:$L239)+$W239</f>
        <v>11181.8333333333</v>
      </c>
      <c r="Q239" s="37" t="n">
        <f aca="false">SUM(N239:P239)</f>
        <v>13545.5</v>
      </c>
      <c r="R239" s="21" t="n">
        <f aca="false">M239+Q239</f>
        <v>20636.5</v>
      </c>
      <c r="S239" s="10" t="n">
        <f aca="false">IF(COUNTIF('Presupuesto 2026'!$B:$B,$A239)=0,"",SUMIF('Presupuesto 2026'!$B:$B,$A239,'Presupuesto 2026'!$D:$D))</f>
        <v>100000</v>
      </c>
      <c r="T239" s="12" t="n">
        <f aca="false">IF(S239="","",R239-S239)</f>
        <v>-79363.5</v>
      </c>
      <c r="U239" s="13" t="n">
        <f aca="false">IF(S239="","",IF(S239=0,"",T239/S239))</f>
        <v>-0.793635</v>
      </c>
      <c r="V239" s="33" t="n">
        <v>45590</v>
      </c>
      <c r="W239" s="10" t="n">
        <f aca="false">SUMIF('Fin de anio'!$D:$D,$A239,'Fin de anio'!$C:$C)</f>
        <v>10000</v>
      </c>
      <c r="X239" s="9" t="s">
        <v>248</v>
      </c>
      <c r="Y239" s="3" t="s">
        <v>249</v>
      </c>
    </row>
    <row r="240" customFormat="false" ht="15" hidden="false" customHeight="false" outlineLevel="0" collapsed="false">
      <c r="A240" s="9" t="s">
        <v>399</v>
      </c>
      <c r="B240" s="9" t="s">
        <v>372</v>
      </c>
      <c r="C240" s="9" t="s">
        <v>221</v>
      </c>
      <c r="D240" s="33" t="n">
        <v>42538</v>
      </c>
      <c r="E240" s="33" t="n">
        <v>0</v>
      </c>
      <c r="F240" s="33" t="n">
        <v>5597</v>
      </c>
      <c r="G240" s="33" t="n">
        <v>0</v>
      </c>
      <c r="H240" s="33" t="n">
        <v>553</v>
      </c>
      <c r="I240" s="33" t="n">
        <v>0</v>
      </c>
      <c r="J240" s="33" t="n">
        <v>0</v>
      </c>
      <c r="K240" s="33" t="n">
        <v>16193</v>
      </c>
      <c r="L240" s="33" t="n">
        <v>1800</v>
      </c>
      <c r="M240" s="12" t="n">
        <f aca="false">SUM(D240:L240)</f>
        <v>66681</v>
      </c>
      <c r="N240" s="37" t="n">
        <f aca="false">AVERAGE($G240:$L240)</f>
        <v>3091</v>
      </c>
      <c r="O240" s="37" t="n">
        <f aca="false">AVERAGE($G240:$L240)</f>
        <v>3091</v>
      </c>
      <c r="P240" s="37" t="n">
        <f aca="false">AVERAGE($G240:$L240)+$W240</f>
        <v>13091</v>
      </c>
      <c r="Q240" s="37" t="n">
        <f aca="false">SUM(N240:P240)</f>
        <v>19273</v>
      </c>
      <c r="R240" s="21" t="n">
        <f aca="false">M240+Q240</f>
        <v>85954</v>
      </c>
      <c r="S240" s="10" t="n">
        <f aca="false">IF(COUNTIF('Presupuesto 2026'!$B:$B,$A240)=0,"",SUMIF('Presupuesto 2026'!$B:$B,$A240,'Presupuesto 2026'!$D:$D))</f>
        <v>100000</v>
      </c>
      <c r="T240" s="12" t="n">
        <f aca="false">IF(S240="","",R240-S240)</f>
        <v>-14046</v>
      </c>
      <c r="U240" s="13" t="n">
        <f aca="false">IF(S240="","",IF(S240=0,"",T240/S240))</f>
        <v>-0.14046</v>
      </c>
      <c r="V240" s="33" t="n">
        <v>236504</v>
      </c>
      <c r="W240" s="10" t="n">
        <f aca="false">SUMIF('Fin de anio'!$D:$D,$A240,'Fin de anio'!$C:$C)</f>
        <v>10000</v>
      </c>
      <c r="X240" s="9" t="s">
        <v>248</v>
      </c>
      <c r="Y240" s="3" t="s">
        <v>249</v>
      </c>
    </row>
    <row r="241" customFormat="false" ht="15" hidden="false" customHeight="false" outlineLevel="0" collapsed="false">
      <c r="A241" s="9" t="s">
        <v>400</v>
      </c>
      <c r="B241" s="9" t="s">
        <v>372</v>
      </c>
      <c r="C241" s="9" t="s">
        <v>221</v>
      </c>
      <c r="D241" s="33" t="n">
        <v>49085</v>
      </c>
      <c r="E241" s="33" t="n">
        <v>0</v>
      </c>
      <c r="F241" s="33" t="n">
        <v>118879</v>
      </c>
      <c r="G241" s="33" t="n">
        <v>3000</v>
      </c>
      <c r="H241" s="33" t="n">
        <v>0</v>
      </c>
      <c r="I241" s="33" t="n">
        <v>18922</v>
      </c>
      <c r="J241" s="33" t="n">
        <v>696</v>
      </c>
      <c r="K241" s="33" t="n">
        <v>0</v>
      </c>
      <c r="L241" s="33" t="n">
        <v>0</v>
      </c>
      <c r="M241" s="12" t="n">
        <f aca="false">SUM(D241:L241)</f>
        <v>190582</v>
      </c>
      <c r="N241" s="37" t="n">
        <f aca="false">AVERAGE($G241:$L241)</f>
        <v>3769.66666666667</v>
      </c>
      <c r="O241" s="37" t="n">
        <f aca="false">AVERAGE($G241:$L241)</f>
        <v>3769.66666666667</v>
      </c>
      <c r="P241" s="37" t="n">
        <f aca="false">AVERAGE($G241:$L241)+$W241</f>
        <v>3769.66666666667</v>
      </c>
      <c r="Q241" s="37" t="n">
        <f aca="false">SUM(N241:P241)</f>
        <v>11309</v>
      </c>
      <c r="R241" s="21" t="n">
        <f aca="false">M241+Q241</f>
        <v>201891</v>
      </c>
      <c r="S241" s="10" t="n">
        <f aca="false">IF(COUNTIF('Presupuesto 2026'!$B:$B,$A241)=0,"",SUMIF('Presupuesto 2026'!$B:$B,$A241,'Presupuesto 2026'!$D:$D))</f>
        <v>100000</v>
      </c>
      <c r="T241" s="12" t="n">
        <f aca="false">IF(S241="","",R241-S241)</f>
        <v>101891</v>
      </c>
      <c r="U241" s="13" t="n">
        <f aca="false">IF(S241="","",IF(S241=0,"",T241/S241))</f>
        <v>1.01891</v>
      </c>
      <c r="V241" s="33" t="n">
        <v>45735</v>
      </c>
      <c r="W241" s="10" t="n">
        <f aca="false">SUMIF('Fin de anio'!$D:$D,$A241,'Fin de anio'!$C:$C)</f>
        <v>0</v>
      </c>
      <c r="X241" s="9" t="s">
        <v>248</v>
      </c>
      <c r="Y241" s="3" t="s">
        <v>249</v>
      </c>
    </row>
    <row r="242" customFormat="false" ht="15" hidden="false" customHeight="false" outlineLevel="0" collapsed="false">
      <c r="A242" s="9" t="s">
        <v>401</v>
      </c>
      <c r="B242" s="9" t="s">
        <v>372</v>
      </c>
      <c r="C242" s="9" t="s">
        <v>221</v>
      </c>
      <c r="D242" s="33" t="n">
        <v>424</v>
      </c>
      <c r="E242" s="33" t="n">
        <v>4671</v>
      </c>
      <c r="F242" s="33" t="n">
        <v>8479</v>
      </c>
      <c r="G242" s="33" t="n">
        <v>4240</v>
      </c>
      <c r="H242" s="33" t="n">
        <v>10830</v>
      </c>
      <c r="I242" s="33" t="n">
        <v>7947</v>
      </c>
      <c r="J242" s="33" t="n">
        <v>9898</v>
      </c>
      <c r="K242" s="33" t="n">
        <v>9084</v>
      </c>
      <c r="L242" s="33" t="n">
        <v>14908</v>
      </c>
      <c r="M242" s="12" t="n">
        <f aca="false">SUM(D242:L242)</f>
        <v>70481</v>
      </c>
      <c r="N242" s="37" t="n">
        <f aca="false">AVERAGE($G242:$L242)</f>
        <v>9484.5</v>
      </c>
      <c r="O242" s="37" t="n">
        <f aca="false">AVERAGE($G242:$L242)</f>
        <v>9484.5</v>
      </c>
      <c r="P242" s="37" t="n">
        <f aca="false">AVERAGE($G242:$L242)+$W242</f>
        <v>9484.5</v>
      </c>
      <c r="Q242" s="37" t="n">
        <f aca="false">SUM(N242:P242)</f>
        <v>28453.5</v>
      </c>
      <c r="R242" s="21" t="n">
        <f aca="false">M242+Q242</f>
        <v>98934.5</v>
      </c>
      <c r="S242" s="10" t="n">
        <f aca="false">IF(COUNTIF('Presupuesto 2026'!$B:$B,$A242)=0,"",SUMIF('Presupuesto 2026'!$B:$B,$A242,'Presupuesto 2026'!$D:$D))</f>
        <v>45000</v>
      </c>
      <c r="T242" s="12" t="n">
        <f aca="false">IF(S242="","",R242-S242)</f>
        <v>53934.5</v>
      </c>
      <c r="U242" s="13" t="n">
        <f aca="false">IF(S242="","",IF(S242=0,"",T242/S242))</f>
        <v>1.19854444444444</v>
      </c>
      <c r="V242" s="33" t="n">
        <v>48875</v>
      </c>
      <c r="W242" s="10" t="n">
        <f aca="false">SUMIF('Fin de anio'!$D:$D,$A242,'Fin de anio'!$C:$C)</f>
        <v>0</v>
      </c>
      <c r="X242" s="9" t="s">
        <v>248</v>
      </c>
      <c r="Y242" s="3" t="s">
        <v>249</v>
      </c>
    </row>
    <row r="243" customFormat="false" ht="15" hidden="false" customHeight="false" outlineLevel="0" collapsed="false">
      <c r="A243" s="3" t="s">
        <v>274</v>
      </c>
      <c r="V243" s="33" t="n">
        <v>201401</v>
      </c>
      <c r="X243" s="3" t="s">
        <v>275</v>
      </c>
      <c r="Y243" s="3" t="s">
        <v>276</v>
      </c>
    </row>
    <row r="244" customFormat="false" ht="15" hidden="false" customHeight="false" outlineLevel="0" collapsed="false">
      <c r="A244" s="40" t="s">
        <v>402</v>
      </c>
      <c r="B244" s="41"/>
      <c r="C244" s="41"/>
      <c r="D244" s="42" t="n">
        <f aca="false">SUM(D221:D243)</f>
        <v>654851</v>
      </c>
      <c r="E244" s="42" t="n">
        <f aca="false">SUM(E221:E243)</f>
        <v>411249</v>
      </c>
      <c r="F244" s="42" t="n">
        <f aca="false">SUM(F221:F243)</f>
        <v>661971</v>
      </c>
      <c r="G244" s="42" t="n">
        <f aca="false">SUM(G221:G243)</f>
        <v>692254</v>
      </c>
      <c r="H244" s="42" t="n">
        <f aca="false">SUM(H221:H243)</f>
        <v>246962</v>
      </c>
      <c r="I244" s="42" t="n">
        <f aca="false">SUM(I221:I243)</f>
        <v>451208</v>
      </c>
      <c r="J244" s="42" t="n">
        <f aca="false">SUM(J221:J243)</f>
        <v>390973</v>
      </c>
      <c r="K244" s="42" t="n">
        <f aca="false">SUM(K221:K243)</f>
        <v>336331</v>
      </c>
      <c r="L244" s="42" t="n">
        <f aca="false">SUM(L221:L243)</f>
        <v>378839</v>
      </c>
      <c r="M244" s="42" t="n">
        <f aca="false">SUM(M221:M243)</f>
        <v>4224638</v>
      </c>
      <c r="N244" s="42" t="n">
        <f aca="false">SUM(N221:N243)</f>
        <v>383443.333333333</v>
      </c>
      <c r="O244" s="42" t="n">
        <f aca="false">SUM(O221:O243)</f>
        <v>353466</v>
      </c>
      <c r="P244" s="42" t="n">
        <f aca="false">SUM(P221:P243)</f>
        <v>1351707.79333333</v>
      </c>
      <c r="Q244" s="42" t="n">
        <f aca="false">SUM(Q221:Q243)</f>
        <v>2088617.12666667</v>
      </c>
      <c r="R244" s="42" t="n">
        <f aca="false">SUM(R221:R243)</f>
        <v>6313255.12666667</v>
      </c>
      <c r="S244" s="42" t="n">
        <f aca="false">SUM(S221:S243)</f>
        <v>5049400</v>
      </c>
      <c r="T244" s="42" t="n">
        <f aca="false">IF(S244="","",R244-S244)</f>
        <v>1263855.12666667</v>
      </c>
      <c r="U244" s="43" t="n">
        <f aca="false">IF(S244="","",IF(S244=0,"",T244/S244))</f>
        <v>0.25029808029997</v>
      </c>
      <c r="V244" s="42" t="n">
        <f aca="false">SUM(V221:V243)</f>
        <v>8512790</v>
      </c>
      <c r="W244" s="41"/>
      <c r="X244" s="44" t="s">
        <v>403</v>
      </c>
      <c r="Y244" s="45" t="s">
        <v>404</v>
      </c>
    </row>
    <row r="246" customFormat="false" ht="15" hidden="false" customHeight="false" outlineLevel="0" collapsed="false">
      <c r="A246" s="6" t="s">
        <v>405</v>
      </c>
      <c r="B246" s="7" t="s">
        <v>38</v>
      </c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</row>
    <row r="247" customFormat="false" ht="15" hidden="false" customHeight="false" outlineLevel="0" collapsed="false">
      <c r="A247" s="9" t="s">
        <v>406</v>
      </c>
      <c r="B247" s="9" t="s">
        <v>407</v>
      </c>
      <c r="C247" s="9" t="s">
        <v>221</v>
      </c>
      <c r="D247" s="33" t="n">
        <v>42010</v>
      </c>
      <c r="E247" s="33" t="n">
        <v>0</v>
      </c>
      <c r="F247" s="33" t="n">
        <v>42137</v>
      </c>
      <c r="G247" s="33" t="n">
        <v>0</v>
      </c>
      <c r="H247" s="33" t="n">
        <v>0</v>
      </c>
      <c r="I247" s="33" t="n">
        <v>6343</v>
      </c>
      <c r="J247" s="33" t="n">
        <v>0</v>
      </c>
      <c r="K247" s="33" t="n">
        <v>0</v>
      </c>
      <c r="L247" s="33" t="n">
        <v>0</v>
      </c>
      <c r="M247" s="12" t="n">
        <f aca="false">SUM(D247:L247)</f>
        <v>90490</v>
      </c>
      <c r="N247" s="37" t="n">
        <f aca="false">AVERAGE($D247:$L247)</f>
        <v>10054.4444444444</v>
      </c>
      <c r="O247" s="37" t="n">
        <f aca="false">AVERAGE($D247:$L247)</f>
        <v>10054.4444444444</v>
      </c>
      <c r="P247" s="37" t="n">
        <f aca="false">AVERAGE($D247:$L247)</f>
        <v>10054.4444444444</v>
      </c>
      <c r="Q247" s="37" t="n">
        <f aca="false">SUM(N247:P247)</f>
        <v>30163.3333333333</v>
      </c>
      <c r="R247" s="21" t="n">
        <f aca="false">M247+Q247</f>
        <v>120653.333333333</v>
      </c>
      <c r="S247" s="10" t="n">
        <f aca="false">IF(COUNTIF('Presupuesto 2026'!$B:$B,$A247)=0,"",SUMIF('Presupuesto 2026'!$B:$B,$A247,'Presupuesto 2026'!$D:$D))</f>
        <v>260000</v>
      </c>
      <c r="T247" s="12" t="n">
        <f aca="false">IF(S247="","",R247-S247)</f>
        <v>-139346.666666667</v>
      </c>
      <c r="U247" s="13" t="n">
        <f aca="false">IF(S247="","",IF(S247=0,"",T247/S247))</f>
        <v>-0.535948717948718</v>
      </c>
      <c r="V247" s="33" t="n">
        <v>219597</v>
      </c>
      <c r="X247" s="9" t="s">
        <v>408</v>
      </c>
      <c r="Y247" s="3" t="s">
        <v>409</v>
      </c>
    </row>
    <row r="248" customFormat="false" ht="15" hidden="false" customHeight="false" outlineLevel="0" collapsed="false">
      <c r="A248" s="9" t="s">
        <v>410</v>
      </c>
      <c r="B248" s="9" t="s">
        <v>407</v>
      </c>
      <c r="C248" s="9" t="s">
        <v>221</v>
      </c>
      <c r="D248" s="33" t="n">
        <v>0</v>
      </c>
      <c r="E248" s="33" t="n">
        <v>0</v>
      </c>
      <c r="F248" s="33" t="n">
        <v>0</v>
      </c>
      <c r="G248" s="33" t="n">
        <v>62957</v>
      </c>
      <c r="H248" s="33" t="n">
        <v>0</v>
      </c>
      <c r="I248" s="33" t="n">
        <v>0</v>
      </c>
      <c r="J248" s="33" t="n">
        <v>123823</v>
      </c>
      <c r="K248" s="33" t="n">
        <v>80370</v>
      </c>
      <c r="L248" s="33" t="n">
        <v>0</v>
      </c>
      <c r="M248" s="12" t="n">
        <f aca="false">SUM(D248:L248)</f>
        <v>267150</v>
      </c>
      <c r="N248" s="11" t="n">
        <f aca="false">Supuestos!$C$21</f>
        <v>28671</v>
      </c>
      <c r="O248" s="11" t="n">
        <f aca="false">0</f>
        <v>0</v>
      </c>
      <c r="P248" s="11" t="n">
        <f aca="false">0</f>
        <v>0</v>
      </c>
      <c r="Q248" s="37" t="n">
        <f aca="false">SUM(N248:P248)</f>
        <v>28671</v>
      </c>
      <c r="R248" s="21" t="n">
        <f aca="false">M248+Q248</f>
        <v>295821</v>
      </c>
      <c r="S248" s="10" t="n">
        <f aca="false">IF(COUNTIF('Presupuesto 2026'!$B:$B,$A248)=0,"",SUMIF('Presupuesto 2026'!$B:$B,$A248,'Presupuesto 2026'!$D:$D))</f>
        <v>375000</v>
      </c>
      <c r="T248" s="12" t="n">
        <f aca="false">IF(S248="","",R248-S248)</f>
        <v>-79179</v>
      </c>
      <c r="U248" s="13" t="n">
        <f aca="false">IF(S248="","",IF(S248=0,"",T248/S248))</f>
        <v>-0.211144</v>
      </c>
      <c r="V248" s="33" t="n">
        <v>360428</v>
      </c>
      <c r="X248" s="9" t="s">
        <v>411</v>
      </c>
      <c r="Y248" s="3" t="s">
        <v>412</v>
      </c>
    </row>
    <row r="249" customFormat="false" ht="15" hidden="false" customHeight="false" outlineLevel="0" collapsed="false">
      <c r="A249" s="9" t="s">
        <v>413</v>
      </c>
      <c r="B249" s="9" t="s">
        <v>407</v>
      </c>
      <c r="C249" s="9" t="s">
        <v>221</v>
      </c>
      <c r="D249" s="33" t="n">
        <v>0</v>
      </c>
      <c r="E249" s="33" t="n">
        <v>0</v>
      </c>
      <c r="F249" s="33" t="n">
        <v>0</v>
      </c>
      <c r="G249" s="33" t="n">
        <v>164256</v>
      </c>
      <c r="H249" s="33" t="n">
        <v>0</v>
      </c>
      <c r="I249" s="33" t="n">
        <v>0</v>
      </c>
      <c r="J249" s="33" t="n">
        <v>0</v>
      </c>
      <c r="K249" s="33" t="n">
        <v>0</v>
      </c>
      <c r="L249" s="33" t="n">
        <v>0</v>
      </c>
      <c r="M249" s="12" t="n">
        <f aca="false">SUM(D249:L249)</f>
        <v>164256</v>
      </c>
      <c r="N249" s="37" t="n">
        <f aca="false">0</f>
        <v>0</v>
      </c>
      <c r="O249" s="37" t="n">
        <f aca="false">0</f>
        <v>0</v>
      </c>
      <c r="P249" s="37" t="n">
        <f aca="false">0</f>
        <v>0</v>
      </c>
      <c r="Q249" s="37" t="n">
        <f aca="false">SUM(N249:P249)</f>
        <v>0</v>
      </c>
      <c r="R249" s="21" t="n">
        <f aca="false">M249+Q249</f>
        <v>164256</v>
      </c>
      <c r="S249" s="10" t="n">
        <f aca="false">IF(COUNTIF('Presupuesto 2026'!$B:$B,$A249)=0,"",SUMIF('Presupuesto 2026'!$B:$B,$A249,'Presupuesto 2026'!$D:$D))</f>
        <v>250000</v>
      </c>
      <c r="T249" s="12" t="n">
        <f aca="false">IF(S249="","",R249-S249)</f>
        <v>-85744</v>
      </c>
      <c r="U249" s="13" t="n">
        <f aca="false">IF(S249="","",IF(S249=0,"",T249/S249))</f>
        <v>-0.342976</v>
      </c>
      <c r="V249" s="33" t="n">
        <v>145290</v>
      </c>
      <c r="X249" s="9" t="s">
        <v>414</v>
      </c>
      <c r="Y249" s="3" t="s">
        <v>415</v>
      </c>
    </row>
    <row r="250" customFormat="false" ht="15" hidden="false" customHeight="false" outlineLevel="0" collapsed="false">
      <c r="A250" s="9" t="s">
        <v>416</v>
      </c>
      <c r="B250" s="9" t="s">
        <v>407</v>
      </c>
      <c r="C250" s="9" t="s">
        <v>221</v>
      </c>
      <c r="D250" s="33" t="n">
        <v>45381</v>
      </c>
      <c r="E250" s="33" t="n">
        <v>0</v>
      </c>
      <c r="F250" s="33" t="n">
        <v>54928</v>
      </c>
      <c r="G250" s="33" t="n">
        <v>54827</v>
      </c>
      <c r="H250" s="33" t="n">
        <v>0</v>
      </c>
      <c r="I250" s="33" t="n">
        <v>28868</v>
      </c>
      <c r="J250" s="33" t="n">
        <v>40776</v>
      </c>
      <c r="K250" s="33" t="n">
        <v>65852</v>
      </c>
      <c r="L250" s="33" t="n">
        <v>0</v>
      </c>
      <c r="M250" s="12" t="n">
        <f aca="false">SUM(D250:L250)</f>
        <v>290632</v>
      </c>
      <c r="N250" s="37" t="n">
        <f aca="false">AVERAGE($G250:$L250)</f>
        <v>31720.5</v>
      </c>
      <c r="O250" s="37" t="n">
        <f aca="false">AVERAGE($G250:$L250)</f>
        <v>31720.5</v>
      </c>
      <c r="P250" s="37" t="n">
        <f aca="false">AVERAGE($G250:$L250)</f>
        <v>31720.5</v>
      </c>
      <c r="Q250" s="37" t="n">
        <f aca="false">SUM(N250:P250)</f>
        <v>95161.5</v>
      </c>
      <c r="R250" s="21" t="n">
        <f aca="false">M250+Q250</f>
        <v>385793.5</v>
      </c>
      <c r="S250" s="10" t="n">
        <f aca="false">IF(COUNTIF('Presupuesto 2026'!$B:$B,$A250)=0,"",SUMIF('Presupuesto 2026'!$B:$B,$A250,'Presupuesto 2026'!$D:$D))</f>
        <v>320000</v>
      </c>
      <c r="T250" s="12" t="n">
        <f aca="false">IF(S250="","",R250-S250)</f>
        <v>65793.5</v>
      </c>
      <c r="U250" s="13" t="n">
        <f aca="false">IF(S250="","",IF(S250=0,"",T250/S250))</f>
        <v>0.2056046875</v>
      </c>
      <c r="V250" s="33" t="n">
        <v>268067</v>
      </c>
      <c r="X250" s="9" t="s">
        <v>248</v>
      </c>
      <c r="Y250" s="3" t="s">
        <v>249</v>
      </c>
    </row>
    <row r="251" customFormat="false" ht="15" hidden="false" customHeight="false" outlineLevel="0" collapsed="false">
      <c r="A251" s="9" t="s">
        <v>417</v>
      </c>
      <c r="B251" s="9" t="s">
        <v>407</v>
      </c>
      <c r="C251" s="9" t="s">
        <v>221</v>
      </c>
      <c r="D251" s="33" t="n">
        <v>81200</v>
      </c>
      <c r="E251" s="33" t="n">
        <v>29000</v>
      </c>
      <c r="F251" s="33" t="n">
        <v>83520</v>
      </c>
      <c r="G251" s="33" t="n">
        <v>30740</v>
      </c>
      <c r="H251" s="33" t="n">
        <v>30740</v>
      </c>
      <c r="I251" s="33" t="n">
        <v>30740</v>
      </c>
      <c r="J251" s="33" t="n">
        <v>37700</v>
      </c>
      <c r="K251" s="33" t="n">
        <v>30740</v>
      </c>
      <c r="L251" s="33" t="n">
        <v>30740</v>
      </c>
      <c r="M251" s="12" t="n">
        <f aca="false">SUM(D251:L251)</f>
        <v>385120</v>
      </c>
      <c r="N251" s="37" t="n">
        <f aca="false">$L251</f>
        <v>30740</v>
      </c>
      <c r="O251" s="37" t="n">
        <f aca="false">$L251</f>
        <v>30740</v>
      </c>
      <c r="P251" s="37" t="n">
        <f aca="false">$L251</f>
        <v>30740</v>
      </c>
      <c r="Q251" s="37" t="n">
        <f aca="false">SUM(N251:P251)</f>
        <v>92220</v>
      </c>
      <c r="R251" s="21" t="n">
        <f aca="false">M251+Q251</f>
        <v>477340</v>
      </c>
      <c r="S251" s="10" t="n">
        <f aca="false">IF(COUNTIF('Presupuesto 2026'!$B:$B,$A251)=0,"",SUMIF('Presupuesto 2026'!$B:$B,$A251,'Presupuesto 2026'!$D:$D))</f>
        <v>348000</v>
      </c>
      <c r="T251" s="12" t="n">
        <f aca="false">IF(S251="","",R251-S251)</f>
        <v>129340</v>
      </c>
      <c r="U251" s="13" t="n">
        <f aca="false">IF(S251="","",IF(S251=0,"",T251/S251))</f>
        <v>0.371666666666667</v>
      </c>
      <c r="V251" s="33" t="n">
        <v>502280</v>
      </c>
      <c r="X251" s="9" t="s">
        <v>418</v>
      </c>
      <c r="Y251" s="3" t="s">
        <v>419</v>
      </c>
    </row>
    <row r="252" customFormat="false" ht="15" hidden="false" customHeight="false" outlineLevel="0" collapsed="false">
      <c r="A252" s="9" t="s">
        <v>420</v>
      </c>
      <c r="B252" s="9" t="s">
        <v>407</v>
      </c>
      <c r="C252" s="9" t="s">
        <v>221</v>
      </c>
      <c r="D252" s="33" t="n">
        <v>47658</v>
      </c>
      <c r="E252" s="33" t="n">
        <v>19405</v>
      </c>
      <c r="F252" s="33" t="n">
        <v>35146</v>
      </c>
      <c r="G252" s="33" t="n">
        <v>60995</v>
      </c>
      <c r="H252" s="33" t="n">
        <v>26190</v>
      </c>
      <c r="I252" s="33" t="n">
        <v>39281</v>
      </c>
      <c r="J252" s="33" t="n">
        <v>28185</v>
      </c>
      <c r="K252" s="33" t="n">
        <v>18346</v>
      </c>
      <c r="L252" s="33" t="n">
        <v>27959</v>
      </c>
      <c r="M252" s="12" t="n">
        <f aca="false">SUM(D252:L252)</f>
        <v>303165</v>
      </c>
      <c r="N252" s="37" t="n">
        <f aca="false">AVERAGE($G252:$L252)</f>
        <v>33492.6666666667</v>
      </c>
      <c r="O252" s="37" t="n">
        <f aca="false">AVERAGE($G252:$L252)</f>
        <v>33492.6666666667</v>
      </c>
      <c r="P252" s="37" t="n">
        <f aca="false">AVERAGE($G252:$L252)</f>
        <v>33492.6666666667</v>
      </c>
      <c r="Q252" s="37" t="n">
        <f aca="false">SUM(N252:P252)</f>
        <v>100478</v>
      </c>
      <c r="R252" s="21" t="n">
        <f aca="false">M252+Q252</f>
        <v>403643</v>
      </c>
      <c r="S252" s="10" t="n">
        <f aca="false">IF(COUNTIF('Presupuesto 2026'!$B:$B,$A252)=0,"",SUMIF('Presupuesto 2026'!$B:$B,$A252,'Presupuesto 2026'!$D:$D))</f>
        <v>320000</v>
      </c>
      <c r="T252" s="12" t="n">
        <f aca="false">IF(S252="","",R252-S252)</f>
        <v>83643</v>
      </c>
      <c r="U252" s="13" t="n">
        <f aca="false">IF(S252="","",IF(S252=0,"",T252/S252))</f>
        <v>0.261384375</v>
      </c>
      <c r="V252" s="33" t="n">
        <v>313042</v>
      </c>
      <c r="X252" s="9" t="s">
        <v>248</v>
      </c>
      <c r="Y252" s="3" t="s">
        <v>249</v>
      </c>
    </row>
    <row r="253" customFormat="false" ht="15" hidden="false" customHeight="false" outlineLevel="0" collapsed="false">
      <c r="A253" s="9" t="s">
        <v>421</v>
      </c>
      <c r="B253" s="9" t="s">
        <v>407</v>
      </c>
      <c r="C253" s="9" t="s">
        <v>221</v>
      </c>
      <c r="D253" s="33" t="n">
        <v>0</v>
      </c>
      <c r="E253" s="33" t="n">
        <v>49300</v>
      </c>
      <c r="F253" s="33" t="n">
        <v>133980</v>
      </c>
      <c r="G253" s="33" t="n">
        <v>0</v>
      </c>
      <c r="H253" s="33" t="n">
        <v>0</v>
      </c>
      <c r="I253" s="33" t="n">
        <v>0</v>
      </c>
      <c r="J253" s="33" t="n">
        <v>0</v>
      </c>
      <c r="K253" s="33" t="n">
        <v>0</v>
      </c>
      <c r="L253" s="33" t="n">
        <v>0</v>
      </c>
      <c r="M253" s="12" t="n">
        <f aca="false">SUM(D253:L253)</f>
        <v>183280</v>
      </c>
      <c r="N253" s="11" t="n">
        <f aca="false">Supuestos!$C$17</f>
        <v>69600</v>
      </c>
      <c r="O253" s="11" t="n">
        <f aca="false">0</f>
        <v>0</v>
      </c>
      <c r="P253" s="11" t="n">
        <f aca="false">0</f>
        <v>0</v>
      </c>
      <c r="Q253" s="37" t="n">
        <f aca="false">SUM(N253:P253)</f>
        <v>69600</v>
      </c>
      <c r="R253" s="21" t="n">
        <f aca="false">M253+Q253</f>
        <v>252880</v>
      </c>
      <c r="S253" s="10" t="n">
        <f aca="false">IF(COUNTIF('Presupuesto 2026'!$B:$B,$A253)=0,"",SUMIF('Presupuesto 2026'!$B:$B,$A253,'Presupuesto 2026'!$D:$D))</f>
        <v>100000</v>
      </c>
      <c r="T253" s="12" t="n">
        <f aca="false">IF(S253="","",R253-S253)</f>
        <v>152880</v>
      </c>
      <c r="U253" s="13" t="n">
        <f aca="false">IF(S253="","",IF(S253=0,"",T253/S253))</f>
        <v>1.5288</v>
      </c>
      <c r="V253" s="33" t="n">
        <v>51040</v>
      </c>
      <c r="X253" s="9" t="s">
        <v>422</v>
      </c>
      <c r="Y253" s="3" t="s">
        <v>423</v>
      </c>
    </row>
    <row r="254" customFormat="false" ht="15" hidden="false" customHeight="false" outlineLevel="0" collapsed="false">
      <c r="A254" s="9" t="s">
        <v>424</v>
      </c>
      <c r="B254" s="9" t="s">
        <v>407</v>
      </c>
      <c r="C254" s="9" t="s">
        <v>221</v>
      </c>
      <c r="D254" s="33" t="n">
        <v>19826</v>
      </c>
      <c r="E254" s="33" t="n">
        <v>42499</v>
      </c>
      <c r="F254" s="33" t="n">
        <v>26688</v>
      </c>
      <c r="G254" s="33" t="n">
        <v>28995</v>
      </c>
      <c r="H254" s="33" t="n">
        <v>15854</v>
      </c>
      <c r="I254" s="33" t="n">
        <v>18944</v>
      </c>
      <c r="J254" s="33" t="n">
        <v>17502</v>
      </c>
      <c r="K254" s="33" t="n">
        <v>4759</v>
      </c>
      <c r="L254" s="33" t="n">
        <v>24217</v>
      </c>
      <c r="M254" s="12" t="n">
        <f aca="false">SUM(D254:L254)</f>
        <v>199284</v>
      </c>
      <c r="N254" s="37" t="n">
        <f aca="false">AVERAGE($G254:$L254)</f>
        <v>18378.5</v>
      </c>
      <c r="O254" s="37" t="n">
        <f aca="false">AVERAGE($G254:$L254)</f>
        <v>18378.5</v>
      </c>
      <c r="P254" s="37" t="n">
        <f aca="false">AVERAGE($G254:$L254)</f>
        <v>18378.5</v>
      </c>
      <c r="Q254" s="37" t="n">
        <f aca="false">SUM(N254:P254)</f>
        <v>55135.5</v>
      </c>
      <c r="R254" s="21" t="n">
        <f aca="false">M254+Q254</f>
        <v>254419.5</v>
      </c>
      <c r="S254" s="10" t="n">
        <f aca="false">IF(COUNTIF('Presupuesto 2026'!$B:$B,$A254)=0,"",SUMIF('Presupuesto 2026'!$B:$B,$A254,'Presupuesto 2026'!$D:$D))</f>
        <v>400000</v>
      </c>
      <c r="T254" s="12" t="n">
        <f aca="false">IF(S254="","",R254-S254)</f>
        <v>-145580.5</v>
      </c>
      <c r="U254" s="13" t="n">
        <f aca="false">IF(S254="","",IF(S254=0,"",T254/S254))</f>
        <v>-0.36395125</v>
      </c>
      <c r="V254" s="33" t="n">
        <v>548885</v>
      </c>
      <c r="X254" s="9" t="s">
        <v>248</v>
      </c>
      <c r="Y254" s="3" t="s">
        <v>249</v>
      </c>
    </row>
    <row r="255" customFormat="false" ht="15" hidden="false" customHeight="false" outlineLevel="0" collapsed="false">
      <c r="A255" s="9" t="s">
        <v>425</v>
      </c>
      <c r="B255" s="9" t="s">
        <v>407</v>
      </c>
      <c r="C255" s="9" t="s">
        <v>221</v>
      </c>
      <c r="D255" s="33" t="n">
        <v>0</v>
      </c>
      <c r="E255" s="33" t="n">
        <v>0</v>
      </c>
      <c r="F255" s="33" t="n">
        <v>47471</v>
      </c>
      <c r="G255" s="33" t="n">
        <v>10961</v>
      </c>
      <c r="H255" s="33" t="n">
        <v>0</v>
      </c>
      <c r="I255" s="33" t="n">
        <v>0</v>
      </c>
      <c r="J255" s="33" t="n">
        <v>2737</v>
      </c>
      <c r="K255" s="33" t="n">
        <v>0</v>
      </c>
      <c r="L255" s="33" t="n">
        <v>0</v>
      </c>
      <c r="M255" s="12" t="n">
        <f aca="false">SUM(D255:L255)</f>
        <v>61169</v>
      </c>
      <c r="N255" s="11" t="n">
        <f aca="false">0</f>
        <v>0</v>
      </c>
      <c r="O255" s="11" t="n">
        <f aca="false">Supuestos!$C$19</f>
        <v>33075</v>
      </c>
      <c r="P255" s="11" t="n">
        <f aca="false">Supuestos!$C$20</f>
        <v>35566</v>
      </c>
      <c r="Q255" s="37" t="n">
        <f aca="false">SUM(N255:P255)</f>
        <v>68641</v>
      </c>
      <c r="R255" s="21" t="n">
        <f aca="false">M255+Q255</f>
        <v>129810</v>
      </c>
      <c r="S255" s="10" t="n">
        <f aca="false">IF(COUNTIF('Presupuesto 2026'!$B:$B,$A255)=0,"",SUMIF('Presupuesto 2026'!$B:$B,$A255,'Presupuesto 2026'!$D:$D))</f>
        <v>120000</v>
      </c>
      <c r="T255" s="12" t="n">
        <f aca="false">IF(S255="","",R255-S255)</f>
        <v>9810</v>
      </c>
      <c r="U255" s="13" t="n">
        <f aca="false">IF(S255="","",IF(S255=0,"",T255/S255))</f>
        <v>0.08175</v>
      </c>
      <c r="V255" s="33" t="n">
        <v>186250</v>
      </c>
      <c r="X255" s="9" t="s">
        <v>426</v>
      </c>
      <c r="Y255" s="3" t="s">
        <v>427</v>
      </c>
    </row>
    <row r="256" customFormat="false" ht="15" hidden="false" customHeight="false" outlineLevel="0" collapsed="false">
      <c r="A256" s="9" t="s">
        <v>428</v>
      </c>
      <c r="B256" s="9" t="s">
        <v>407</v>
      </c>
      <c r="C256" s="9" t="s">
        <v>221</v>
      </c>
      <c r="D256" s="33" t="n">
        <v>17117</v>
      </c>
      <c r="E256" s="33" t="n">
        <v>44124</v>
      </c>
      <c r="F256" s="33" t="n">
        <v>13837</v>
      </c>
      <c r="G256" s="33" t="n">
        <v>38132</v>
      </c>
      <c r="H256" s="33" t="n">
        <v>17610</v>
      </c>
      <c r="I256" s="33" t="n">
        <v>40600</v>
      </c>
      <c r="J256" s="33" t="n">
        <v>16180</v>
      </c>
      <c r="K256" s="33" t="n">
        <v>29770</v>
      </c>
      <c r="L256" s="33" t="n">
        <v>30235</v>
      </c>
      <c r="M256" s="12" t="n">
        <f aca="false">SUM(D256:L256)</f>
        <v>247605</v>
      </c>
      <c r="N256" s="37" t="n">
        <f aca="false">AVERAGE($G256,$I256,$K256)</f>
        <v>36167.3333333333</v>
      </c>
      <c r="O256" s="37" t="n">
        <f aca="false">AVERAGE($H256,$J256,$L256)</f>
        <v>21341.6666666667</v>
      </c>
      <c r="P256" s="37" t="n">
        <f aca="false">AVERAGE($G256,$I256,$K256)</f>
        <v>36167.3333333333</v>
      </c>
      <c r="Q256" s="37" t="n">
        <f aca="false">SUM(N256:P256)</f>
        <v>93676.3333333333</v>
      </c>
      <c r="R256" s="21" t="n">
        <f aca="false">M256+Q256</f>
        <v>341281.333333333</v>
      </c>
      <c r="S256" s="10" t="n">
        <f aca="false">IF(COUNTIF('Presupuesto 2026'!$B:$B,$A256)=0,"",SUMIF('Presupuesto 2026'!$B:$B,$A256,'Presupuesto 2026'!$D:$D))</f>
        <v>338000</v>
      </c>
      <c r="T256" s="12" t="n">
        <f aca="false">IF(S256="","",R256-S256)</f>
        <v>3281.33333333337</v>
      </c>
      <c r="U256" s="13" t="n">
        <f aca="false">IF(S256="","",IF(S256=0,"",T256/S256))</f>
        <v>0.00970808678500998</v>
      </c>
      <c r="V256" s="33" t="n">
        <v>372123</v>
      </c>
      <c r="X256" s="9" t="s">
        <v>374</v>
      </c>
      <c r="Y256" s="3" t="s">
        <v>375</v>
      </c>
    </row>
    <row r="257" customFormat="false" ht="15" hidden="false" customHeight="false" outlineLevel="0" collapsed="false">
      <c r="A257" s="9" t="s">
        <v>429</v>
      </c>
      <c r="B257" s="9" t="s">
        <v>407</v>
      </c>
      <c r="C257" s="9" t="s">
        <v>221</v>
      </c>
      <c r="D257" s="33" t="n">
        <v>0</v>
      </c>
      <c r="E257" s="33" t="n">
        <v>7301</v>
      </c>
      <c r="F257" s="33" t="n">
        <v>7540</v>
      </c>
      <c r="G257" s="33" t="n">
        <v>0</v>
      </c>
      <c r="H257" s="33" t="n">
        <v>4867</v>
      </c>
      <c r="I257" s="33" t="n">
        <v>42688</v>
      </c>
      <c r="J257" s="33" t="n">
        <v>9280</v>
      </c>
      <c r="K257" s="33" t="n">
        <v>12776</v>
      </c>
      <c r="L257" s="33" t="n">
        <v>-4585</v>
      </c>
      <c r="M257" s="12" t="n">
        <f aca="false">SUM(D257:L257)</f>
        <v>79867</v>
      </c>
      <c r="N257" s="37" t="n">
        <f aca="false">AVERAGE($G257:$L257)</f>
        <v>10837.6666666667</v>
      </c>
      <c r="O257" s="37" t="n">
        <f aca="false">AVERAGE($G257:$L257)</f>
        <v>10837.6666666667</v>
      </c>
      <c r="P257" s="37" t="n">
        <f aca="false">AVERAGE($G257:$L257)</f>
        <v>10837.6666666667</v>
      </c>
      <c r="Q257" s="37" t="n">
        <f aca="false">SUM(N257:P257)</f>
        <v>32513</v>
      </c>
      <c r="R257" s="21" t="n">
        <f aca="false">M257+Q257</f>
        <v>112380</v>
      </c>
      <c r="S257" s="10" t="n">
        <f aca="false">IF(COUNTIF('Presupuesto 2026'!$B:$B,$A257)=0,"",SUMIF('Presupuesto 2026'!$B:$B,$A257,'Presupuesto 2026'!$D:$D))</f>
        <v>100000</v>
      </c>
      <c r="T257" s="12" t="n">
        <f aca="false">IF(S257="","",R257-S257)</f>
        <v>12380</v>
      </c>
      <c r="U257" s="13" t="n">
        <f aca="false">IF(S257="","",IF(S257=0,"",T257/S257))</f>
        <v>0.1238</v>
      </c>
      <c r="V257" s="33" t="n">
        <v>171235</v>
      </c>
      <c r="X257" s="9" t="s">
        <v>248</v>
      </c>
      <c r="Y257" s="3" t="s">
        <v>249</v>
      </c>
    </row>
    <row r="258" customFormat="false" ht="15" hidden="false" customHeight="false" outlineLevel="0" collapsed="false">
      <c r="A258" s="9" t="s">
        <v>430</v>
      </c>
      <c r="B258" s="9" t="s">
        <v>407</v>
      </c>
      <c r="C258" s="9" t="s">
        <v>221</v>
      </c>
      <c r="D258" s="33" t="n">
        <v>0</v>
      </c>
      <c r="E258" s="33" t="n">
        <v>812</v>
      </c>
      <c r="F258" s="33" t="n">
        <v>11716</v>
      </c>
      <c r="G258" s="33" t="n">
        <v>0</v>
      </c>
      <c r="H258" s="33" t="n">
        <v>0</v>
      </c>
      <c r="I258" s="33" t="n">
        <v>0</v>
      </c>
      <c r="J258" s="33" t="n">
        <v>0</v>
      </c>
      <c r="K258" s="33" t="n">
        <v>0</v>
      </c>
      <c r="L258" s="33" t="n">
        <v>0</v>
      </c>
      <c r="M258" s="12" t="n">
        <f aca="false">SUM(D258:L258)</f>
        <v>12528</v>
      </c>
      <c r="N258" s="37" t="n">
        <f aca="false">AVERAGE($D258:$L258)</f>
        <v>1392</v>
      </c>
      <c r="O258" s="37" t="n">
        <f aca="false">AVERAGE($D258:$L258)</f>
        <v>1392</v>
      </c>
      <c r="P258" s="37" t="n">
        <f aca="false">AVERAGE($D258:$L258)</f>
        <v>1392</v>
      </c>
      <c r="Q258" s="37" t="n">
        <f aca="false">SUM(N258:P258)</f>
        <v>4176</v>
      </c>
      <c r="R258" s="21" t="n">
        <f aca="false">M258+Q258</f>
        <v>16704</v>
      </c>
      <c r="S258" s="10" t="n">
        <f aca="false">IF(COUNTIF('Presupuesto 2026'!$B:$B,$A258)=0,"",SUMIF('Presupuesto 2026'!$B:$B,$A258,'Presupuesto 2026'!$D:$D))</f>
        <v>20000</v>
      </c>
      <c r="T258" s="12" t="n">
        <f aca="false">IF(S258="","",R258-S258)</f>
        <v>-3296</v>
      </c>
      <c r="U258" s="13" t="n">
        <f aca="false">IF(S258="","",IF(S258=0,"",T258/S258))</f>
        <v>-0.1648</v>
      </c>
      <c r="V258" s="33" t="n">
        <v>10715</v>
      </c>
      <c r="X258" s="9" t="s">
        <v>431</v>
      </c>
      <c r="Y258" s="3" t="s">
        <v>432</v>
      </c>
    </row>
    <row r="259" customFormat="false" ht="15" hidden="false" customHeight="false" outlineLevel="0" collapsed="false">
      <c r="A259" s="9" t="s">
        <v>433</v>
      </c>
      <c r="B259" s="9" t="s">
        <v>407</v>
      </c>
      <c r="C259" s="9" t="s">
        <v>221</v>
      </c>
      <c r="D259" s="33" t="n">
        <v>22617</v>
      </c>
      <c r="E259" s="33" t="n">
        <v>13050</v>
      </c>
      <c r="F259" s="33" t="n">
        <v>65445</v>
      </c>
      <c r="G259" s="33" t="n">
        <v>0</v>
      </c>
      <c r="H259" s="33" t="n">
        <v>23780</v>
      </c>
      <c r="I259" s="33" t="n">
        <v>0</v>
      </c>
      <c r="J259" s="33" t="n">
        <v>0</v>
      </c>
      <c r="K259" s="33" t="n">
        <v>0</v>
      </c>
      <c r="L259" s="33" t="n">
        <v>0</v>
      </c>
      <c r="M259" s="12" t="n">
        <f aca="false">SUM(D259:L259)</f>
        <v>124892</v>
      </c>
      <c r="N259" s="37" t="n">
        <f aca="false">0</f>
        <v>0</v>
      </c>
      <c r="O259" s="37" t="n">
        <f aca="false">0</f>
        <v>0</v>
      </c>
      <c r="P259" s="37" t="n">
        <f aca="false">0</f>
        <v>0</v>
      </c>
      <c r="Q259" s="37" t="n">
        <f aca="false">SUM(N259:P259)</f>
        <v>0</v>
      </c>
      <c r="R259" s="21" t="n">
        <f aca="false">M259+Q259</f>
        <v>124892</v>
      </c>
      <c r="S259" s="10" t="n">
        <f aca="false">IF(COUNTIF('Presupuesto 2026'!$B:$B,$A259)=0,"",SUMIF('Presupuesto 2026'!$B:$B,$A259,'Presupuesto 2026'!$D:$D))</f>
        <v>100000</v>
      </c>
      <c r="T259" s="12" t="n">
        <f aca="false">IF(S259="","",R259-S259)</f>
        <v>24892</v>
      </c>
      <c r="U259" s="13" t="n">
        <f aca="false">IF(S259="","",IF(S259=0,"",T259/S259))</f>
        <v>0.24892</v>
      </c>
      <c r="V259" s="33" t="n">
        <v>176186</v>
      </c>
      <c r="X259" s="9" t="s">
        <v>434</v>
      </c>
      <c r="Y259" s="3" t="s">
        <v>435</v>
      </c>
    </row>
    <row r="260" customFormat="false" ht="15" hidden="false" customHeight="false" outlineLevel="0" collapsed="false">
      <c r="A260" s="9" t="s">
        <v>436</v>
      </c>
      <c r="B260" s="9" t="s">
        <v>407</v>
      </c>
      <c r="C260" s="9" t="s">
        <v>221</v>
      </c>
      <c r="D260" s="33" t="n">
        <v>0</v>
      </c>
      <c r="E260" s="33" t="n">
        <v>4598</v>
      </c>
      <c r="F260" s="33" t="n">
        <v>4408</v>
      </c>
      <c r="G260" s="33" t="n">
        <v>0</v>
      </c>
      <c r="H260" s="33" t="n">
        <v>0</v>
      </c>
      <c r="I260" s="33" t="n">
        <v>0</v>
      </c>
      <c r="J260" s="33" t="n">
        <v>1740</v>
      </c>
      <c r="K260" s="33" t="n">
        <v>0</v>
      </c>
      <c r="L260" s="33" t="n">
        <v>0</v>
      </c>
      <c r="M260" s="12" t="n">
        <f aca="false">SUM(D260:L260)</f>
        <v>10746</v>
      </c>
      <c r="N260" s="37" t="n">
        <f aca="false">AVERAGE($D260:$L260)</f>
        <v>1194</v>
      </c>
      <c r="O260" s="37" t="n">
        <f aca="false">AVERAGE($D260:$L260)</f>
        <v>1194</v>
      </c>
      <c r="P260" s="37" t="n">
        <f aca="false">AVERAGE($D260:$L260)</f>
        <v>1194</v>
      </c>
      <c r="Q260" s="37" t="n">
        <f aca="false">SUM(N260:P260)</f>
        <v>3582</v>
      </c>
      <c r="R260" s="21" t="n">
        <f aca="false">M260+Q260</f>
        <v>14328</v>
      </c>
      <c r="S260" s="10" t="n">
        <f aca="false">IF(COUNTIF('Presupuesto 2026'!$B:$B,$A260)=0,"",SUMIF('Presupuesto 2026'!$B:$B,$A260,'Presupuesto 2026'!$D:$D))</f>
        <v>0</v>
      </c>
      <c r="T260" s="12" t="n">
        <f aca="false">IF(S260="","",R260-S260)</f>
        <v>14328</v>
      </c>
      <c r="U260" s="13" t="str">
        <f aca="false">IF(S260="","",IF(S260=0,"",T260/S260))</f>
        <v/>
      </c>
      <c r="V260" s="33" t="n">
        <v>5916</v>
      </c>
      <c r="X260" s="9" t="s">
        <v>431</v>
      </c>
      <c r="Y260" s="3" t="s">
        <v>432</v>
      </c>
    </row>
    <row r="261" customFormat="false" ht="15" hidden="false" customHeight="false" outlineLevel="0" collapsed="false">
      <c r="A261" s="9" t="s">
        <v>437</v>
      </c>
      <c r="B261" s="9" t="s">
        <v>407</v>
      </c>
      <c r="C261" s="9" t="s">
        <v>221</v>
      </c>
      <c r="D261" s="33" t="n">
        <v>2899</v>
      </c>
      <c r="E261" s="33" t="n">
        <v>999</v>
      </c>
      <c r="F261" s="33" t="n">
        <v>17617</v>
      </c>
      <c r="G261" s="33" t="n">
        <v>5918</v>
      </c>
      <c r="H261" s="33" t="n">
        <v>11347</v>
      </c>
      <c r="I261" s="33" t="n">
        <v>7018</v>
      </c>
      <c r="J261" s="33" t="n">
        <v>4299</v>
      </c>
      <c r="K261" s="33" t="n">
        <v>4499</v>
      </c>
      <c r="L261" s="33" t="n">
        <v>10058</v>
      </c>
      <c r="M261" s="12" t="n">
        <f aca="false">SUM(D261:L261)</f>
        <v>64654</v>
      </c>
      <c r="N261" s="37" t="n">
        <f aca="false">AVERAGE($G261:$L261)</f>
        <v>7189.83333333333</v>
      </c>
      <c r="O261" s="37" t="n">
        <f aca="false">AVERAGE($G261:$L261)</f>
        <v>7189.83333333333</v>
      </c>
      <c r="P261" s="37" t="n">
        <f aca="false">AVERAGE($G261:$L261)</f>
        <v>7189.83333333333</v>
      </c>
      <c r="Q261" s="37" t="n">
        <f aca="false">SUM(N261:P261)</f>
        <v>21569.5</v>
      </c>
      <c r="R261" s="21" t="n">
        <f aca="false">M261+Q261</f>
        <v>86223.5</v>
      </c>
      <c r="S261" s="10" t="n">
        <f aca="false">IF(COUNTIF('Presupuesto 2026'!$B:$B,$A261)=0,"",SUMIF('Presupuesto 2026'!$B:$B,$A261,'Presupuesto 2026'!$D:$D))</f>
        <v>300000</v>
      </c>
      <c r="T261" s="12" t="n">
        <f aca="false">IF(S261="","",R261-S261)</f>
        <v>-213776.5</v>
      </c>
      <c r="U261" s="13" t="n">
        <f aca="false">IF(S261="","",IF(S261=0,"",T261/S261))</f>
        <v>-0.712588333333333</v>
      </c>
      <c r="V261" s="33" t="n">
        <v>77357</v>
      </c>
      <c r="X261" s="9" t="s">
        <v>248</v>
      </c>
      <c r="Y261" s="3" t="s">
        <v>249</v>
      </c>
    </row>
    <row r="262" customFormat="false" ht="15" hidden="false" customHeight="false" outlineLevel="0" collapsed="false">
      <c r="A262" s="9" t="s">
        <v>438</v>
      </c>
      <c r="B262" s="9" t="s">
        <v>407</v>
      </c>
      <c r="C262" s="9" t="s">
        <v>221</v>
      </c>
      <c r="D262" s="33" t="n">
        <v>3243</v>
      </c>
      <c r="E262" s="33" t="n">
        <v>3174</v>
      </c>
      <c r="F262" s="33" t="n">
        <v>3105</v>
      </c>
      <c r="G262" s="33" t="n">
        <v>3312</v>
      </c>
      <c r="H262" s="33" t="n">
        <v>3456</v>
      </c>
      <c r="I262" s="33" t="n">
        <v>3240</v>
      </c>
      <c r="J262" s="33" t="n">
        <v>3024</v>
      </c>
      <c r="K262" s="33" t="n">
        <v>3456</v>
      </c>
      <c r="L262" s="33" t="n">
        <v>3600</v>
      </c>
      <c r="M262" s="12" t="n">
        <f aca="false">SUM(D262:L262)</f>
        <v>29610</v>
      </c>
      <c r="N262" s="11" t="n">
        <f aca="false">$L262+Supuestos!$C$18</f>
        <v>39924</v>
      </c>
      <c r="O262" s="11" t="n">
        <f aca="false">$L262</f>
        <v>3600</v>
      </c>
      <c r="P262" s="11" t="n">
        <f aca="false">$L262</f>
        <v>3600</v>
      </c>
      <c r="Q262" s="37" t="n">
        <f aca="false">SUM(N262:P262)</f>
        <v>47124</v>
      </c>
      <c r="R262" s="21" t="n">
        <f aca="false">M262+Q262</f>
        <v>76734</v>
      </c>
      <c r="S262" s="10" t="n">
        <f aca="false">IF(COUNTIF('Presupuesto 2026'!$B:$B,$A262)=0,"",SUMIF('Presupuesto 2026'!$B:$B,$A262,'Presupuesto 2026'!$D:$D))</f>
        <v>41000</v>
      </c>
      <c r="T262" s="12" t="n">
        <f aca="false">IF(S262="","",R262-S262)</f>
        <v>35734</v>
      </c>
      <c r="U262" s="13" t="n">
        <f aca="false">IF(S262="","",IF(S262=0,"",T262/S262))</f>
        <v>0.871560975609756</v>
      </c>
      <c r="V262" s="33" t="n">
        <v>46472</v>
      </c>
      <c r="X262" s="9" t="s">
        <v>439</v>
      </c>
      <c r="Y262" s="3" t="s">
        <v>440</v>
      </c>
    </row>
    <row r="263" customFormat="false" ht="15" hidden="false" customHeight="false" outlineLevel="0" collapsed="false">
      <c r="A263" s="9" t="s">
        <v>441</v>
      </c>
      <c r="B263" s="9" t="s">
        <v>407</v>
      </c>
      <c r="C263" s="9" t="s">
        <v>221</v>
      </c>
      <c r="D263" s="33" t="n">
        <v>14722</v>
      </c>
      <c r="E263" s="33" t="n">
        <v>0</v>
      </c>
      <c r="F263" s="33" t="n">
        <v>0</v>
      </c>
      <c r="G263" s="33" t="n">
        <v>0</v>
      </c>
      <c r="H263" s="33" t="n">
        <v>0</v>
      </c>
      <c r="I263" s="33" t="n">
        <v>0</v>
      </c>
      <c r="J263" s="33" t="n">
        <v>0</v>
      </c>
      <c r="K263" s="33" t="n">
        <v>0</v>
      </c>
      <c r="L263" s="33" t="n">
        <v>0</v>
      </c>
      <c r="M263" s="12" t="n">
        <f aca="false">SUM(D263:L263)</f>
        <v>14722</v>
      </c>
      <c r="N263" s="37" t="n">
        <f aca="false">0</f>
        <v>0</v>
      </c>
      <c r="O263" s="37" t="n">
        <f aca="false">0</f>
        <v>0</v>
      </c>
      <c r="P263" s="37" t="n">
        <f aca="false">0</f>
        <v>0</v>
      </c>
      <c r="Q263" s="37" t="n">
        <f aca="false">SUM(N263:P263)</f>
        <v>0</v>
      </c>
      <c r="R263" s="21" t="n">
        <f aca="false">M263+Q263</f>
        <v>14722</v>
      </c>
      <c r="S263" s="10" t="n">
        <f aca="false">IF(COUNTIF('Presupuesto 2026'!$B:$B,$A263)=0,"",SUMIF('Presupuesto 2026'!$B:$B,$A263,'Presupuesto 2026'!$D:$D))</f>
        <v>30000</v>
      </c>
      <c r="T263" s="12" t="n">
        <f aca="false">IF(S263="","",R263-S263)</f>
        <v>-15278</v>
      </c>
      <c r="U263" s="13" t="n">
        <f aca="false">IF(S263="","",IF(S263=0,"",T263/S263))</f>
        <v>-0.509266666666667</v>
      </c>
      <c r="V263" s="33" t="n">
        <v>13768</v>
      </c>
      <c r="X263" s="9" t="s">
        <v>442</v>
      </c>
      <c r="Y263" s="3" t="s">
        <v>443</v>
      </c>
    </row>
    <row r="264" customFormat="false" ht="15" hidden="false" customHeight="false" outlineLevel="0" collapsed="false">
      <c r="A264" s="9" t="s">
        <v>444</v>
      </c>
      <c r="B264" s="9" t="s">
        <v>407</v>
      </c>
      <c r="C264" s="9" t="s">
        <v>221</v>
      </c>
      <c r="D264" s="33" t="n">
        <v>0</v>
      </c>
      <c r="E264" s="33" t="n">
        <v>0</v>
      </c>
      <c r="F264" s="33" t="n">
        <v>23726</v>
      </c>
      <c r="G264" s="33" t="n">
        <v>0</v>
      </c>
      <c r="H264" s="33" t="n">
        <v>0</v>
      </c>
      <c r="I264" s="33" t="n">
        <v>0</v>
      </c>
      <c r="J264" s="33" t="n">
        <v>0</v>
      </c>
      <c r="K264" s="33" t="n">
        <v>0</v>
      </c>
      <c r="L264" s="33" t="n">
        <v>0</v>
      </c>
      <c r="M264" s="12" t="n">
        <f aca="false">SUM(D264:L264)</f>
        <v>23726</v>
      </c>
      <c r="N264" s="37" t="n">
        <f aca="false">0</f>
        <v>0</v>
      </c>
      <c r="O264" s="37" t="n">
        <f aca="false">0</f>
        <v>0</v>
      </c>
      <c r="P264" s="37" t="n">
        <f aca="false">0</f>
        <v>0</v>
      </c>
      <c r="Q264" s="37" t="n">
        <f aca="false">SUM(N264:P264)</f>
        <v>0</v>
      </c>
      <c r="R264" s="21" t="n">
        <f aca="false">M264+Q264</f>
        <v>23726</v>
      </c>
      <c r="S264" s="10" t="n">
        <f aca="false">IF(COUNTIF('Presupuesto 2026'!$B:$B,$A264)=0,"",SUMIF('Presupuesto 2026'!$B:$B,$A264,'Presupuesto 2026'!$D:$D))</f>
        <v>4500</v>
      </c>
      <c r="T264" s="12" t="n">
        <f aca="false">IF(S264="","",R264-S264)</f>
        <v>19226</v>
      </c>
      <c r="U264" s="13" t="n">
        <f aca="false">IF(S264="","",IF(S264=0,"",T264/S264))</f>
        <v>4.27244444444444</v>
      </c>
      <c r="V264" s="33" t="n">
        <v>3268</v>
      </c>
      <c r="X264" s="9" t="s">
        <v>445</v>
      </c>
      <c r="Y264" s="3" t="s">
        <v>446</v>
      </c>
    </row>
    <row r="265" customFormat="false" ht="15" hidden="false" customHeight="false" outlineLevel="0" collapsed="false">
      <c r="A265" s="9" t="s">
        <v>447</v>
      </c>
      <c r="B265" s="9" t="s">
        <v>407</v>
      </c>
      <c r="C265" s="9" t="s">
        <v>221</v>
      </c>
      <c r="D265" s="33" t="n">
        <v>2550</v>
      </c>
      <c r="E265" s="33" t="n">
        <v>1950</v>
      </c>
      <c r="F265" s="33" t="n">
        <v>3450</v>
      </c>
      <c r="G265" s="33" t="n">
        <v>2916</v>
      </c>
      <c r="H265" s="33" t="n">
        <v>2050</v>
      </c>
      <c r="I265" s="33" t="n">
        <v>2700</v>
      </c>
      <c r="J265" s="33" t="n">
        <v>1350</v>
      </c>
      <c r="K265" s="33" t="n">
        <v>2700</v>
      </c>
      <c r="L265" s="33" t="n">
        <v>2700</v>
      </c>
      <c r="M265" s="12" t="n">
        <f aca="false">SUM(D265:L265)</f>
        <v>22366</v>
      </c>
      <c r="N265" s="37" t="n">
        <f aca="false">AVERAGE($G265:$L265)</f>
        <v>2402.66666666667</v>
      </c>
      <c r="O265" s="37" t="n">
        <f aca="false">AVERAGE($G265:$L265)</f>
        <v>2402.66666666667</v>
      </c>
      <c r="P265" s="37" t="n">
        <f aca="false">AVERAGE($G265:$L265)</f>
        <v>2402.66666666667</v>
      </c>
      <c r="Q265" s="37" t="n">
        <f aca="false">SUM(N265:P265)</f>
        <v>7208</v>
      </c>
      <c r="R265" s="21" t="n">
        <f aca="false">M265+Q265</f>
        <v>29574</v>
      </c>
      <c r="S265" s="10" t="n">
        <f aca="false">IF(COUNTIF('Presupuesto 2026'!$B:$B,$A265)=0,"",SUMIF('Presupuesto 2026'!$B:$B,$A265,'Presupuesto 2026'!$D:$D))</f>
        <v>28000</v>
      </c>
      <c r="T265" s="12" t="n">
        <f aca="false">IF(S265="","",R265-S265)</f>
        <v>1574</v>
      </c>
      <c r="U265" s="13" t="n">
        <f aca="false">IF(S265="","",IF(S265=0,"",T265/S265))</f>
        <v>0.0562142857142857</v>
      </c>
      <c r="V265" s="33" t="n">
        <v>30681</v>
      </c>
      <c r="X265" s="9" t="s">
        <v>248</v>
      </c>
      <c r="Y265" s="3" t="s">
        <v>249</v>
      </c>
    </row>
    <row r="266" customFormat="false" ht="15" hidden="false" customHeight="false" outlineLevel="0" collapsed="false">
      <c r="A266" s="9" t="s">
        <v>448</v>
      </c>
      <c r="B266" s="9" t="s">
        <v>407</v>
      </c>
      <c r="C266" s="9" t="s">
        <v>221</v>
      </c>
      <c r="D266" s="33" t="n">
        <v>0</v>
      </c>
      <c r="E266" s="33" t="n">
        <v>0</v>
      </c>
      <c r="F266" s="33" t="n">
        <v>0</v>
      </c>
      <c r="G266" s="33" t="n">
        <v>0</v>
      </c>
      <c r="H266" s="33" t="n">
        <v>2111</v>
      </c>
      <c r="I266" s="33" t="n">
        <v>0</v>
      </c>
      <c r="J266" s="33" t="n">
        <v>0</v>
      </c>
      <c r="K266" s="33" t="n">
        <v>0</v>
      </c>
      <c r="L266" s="33" t="n">
        <v>0</v>
      </c>
      <c r="M266" s="12" t="n">
        <f aca="false">SUM(D266:L266)</f>
        <v>2111</v>
      </c>
      <c r="N266" s="37" t="n">
        <f aca="false">0</f>
        <v>0</v>
      </c>
      <c r="O266" s="37" t="n">
        <f aca="false">0</f>
        <v>0</v>
      </c>
      <c r="P266" s="37" t="n">
        <f aca="false">0</f>
        <v>0</v>
      </c>
      <c r="Q266" s="37" t="n">
        <f aca="false">SUM(N266:P266)</f>
        <v>0</v>
      </c>
      <c r="R266" s="21" t="n">
        <f aca="false">M266+Q266</f>
        <v>2111</v>
      </c>
      <c r="S266" s="10" t="str">
        <f aca="false">IF(COUNTIF('Presupuesto 2026'!$B:$B,$A266)=0,"",SUMIF('Presupuesto 2026'!$B:$B,$A266,'Presupuesto 2026'!$D:$D))</f>
        <v/>
      </c>
      <c r="T266" s="12" t="str">
        <f aca="false">IF(S266="","",R266-S266)</f>
        <v/>
      </c>
      <c r="U266" s="13" t="str">
        <f aca="false">IF(S266="","",IF(S266=0,"",T266/S266))</f>
        <v/>
      </c>
      <c r="X266" s="9" t="s">
        <v>449</v>
      </c>
      <c r="Y266" s="3" t="s">
        <v>450</v>
      </c>
    </row>
    <row r="267" customFormat="false" ht="15" hidden="false" customHeight="false" outlineLevel="0" collapsed="false">
      <c r="A267" s="3" t="s">
        <v>274</v>
      </c>
      <c r="V267" s="33" t="n">
        <v>313202</v>
      </c>
      <c r="X267" s="3" t="s">
        <v>275</v>
      </c>
      <c r="Y267" s="3" t="s">
        <v>276</v>
      </c>
    </row>
    <row r="268" customFormat="false" ht="15" hidden="false" customHeight="false" outlineLevel="0" collapsed="false">
      <c r="A268" s="40" t="s">
        <v>451</v>
      </c>
      <c r="B268" s="41"/>
      <c r="C268" s="41"/>
      <c r="D268" s="42" t="n">
        <f aca="false">SUM(D247:D267)</f>
        <v>299223</v>
      </c>
      <c r="E268" s="42" t="n">
        <f aca="false">SUM(E247:E267)</f>
        <v>216212</v>
      </c>
      <c r="F268" s="42" t="n">
        <f aca="false">SUM(F247:F267)</f>
        <v>574714</v>
      </c>
      <c r="G268" s="42" t="n">
        <f aca="false">SUM(G247:G267)</f>
        <v>464009</v>
      </c>
      <c r="H268" s="42" t="n">
        <f aca="false">SUM(H247:H267)</f>
        <v>138005</v>
      </c>
      <c r="I268" s="42" t="n">
        <f aca="false">SUM(I247:I267)</f>
        <v>220422</v>
      </c>
      <c r="J268" s="42" t="n">
        <f aca="false">SUM(J247:J267)</f>
        <v>286596</v>
      </c>
      <c r="K268" s="42" t="n">
        <f aca="false">SUM(K247:K267)</f>
        <v>253268</v>
      </c>
      <c r="L268" s="42" t="n">
        <f aca="false">SUM(L247:L267)</f>
        <v>124924</v>
      </c>
      <c r="M268" s="42" t="n">
        <f aca="false">SUM(M247:M267)</f>
        <v>2577373</v>
      </c>
      <c r="N268" s="42" t="n">
        <f aca="false">SUM(N247:N267)</f>
        <v>321764.611111111</v>
      </c>
      <c r="O268" s="42" t="n">
        <f aca="false">SUM(O247:O267)</f>
        <v>205418.944444444</v>
      </c>
      <c r="P268" s="42" t="n">
        <f aca="false">SUM(P247:P267)</f>
        <v>222735.611111111</v>
      </c>
      <c r="Q268" s="42" t="n">
        <f aca="false">SUM(Q247:Q267)</f>
        <v>749919.166666667</v>
      </c>
      <c r="R268" s="42" t="n">
        <f aca="false">SUM(R247:R267)</f>
        <v>3327292.16666667</v>
      </c>
      <c r="S268" s="42" t="n">
        <f aca="false">SUM(S247:S267)</f>
        <v>3454500</v>
      </c>
      <c r="T268" s="42" t="n">
        <f aca="false">IF(S268="","",R268-S268)</f>
        <v>-127207.833333333</v>
      </c>
      <c r="U268" s="43" t="n">
        <f aca="false">IF(S268="","",IF(S268=0,"",T268/S268))</f>
        <v>-0.0368238046991847</v>
      </c>
      <c r="V268" s="42" t="n">
        <f aca="false">SUM(V247:V267)</f>
        <v>3815802</v>
      </c>
      <c r="W268" s="41"/>
      <c r="X268" s="41"/>
      <c r="Y268" s="41"/>
    </row>
    <row r="270" customFormat="false" ht="15" hidden="false" customHeight="false" outlineLevel="0" collapsed="false">
      <c r="A270" s="6" t="s">
        <v>452</v>
      </c>
      <c r="B270" s="7" t="s">
        <v>453</v>
      </c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</row>
    <row r="271" customFormat="false" ht="15" hidden="false" customHeight="false" outlineLevel="0" collapsed="false">
      <c r="A271" s="9" t="s">
        <v>454</v>
      </c>
      <c r="B271" s="9" t="s">
        <v>147</v>
      </c>
      <c r="C271" s="9" t="s">
        <v>237</v>
      </c>
      <c r="D271" s="33" t="n">
        <v>0</v>
      </c>
      <c r="E271" s="33" t="n">
        <v>0</v>
      </c>
      <c r="F271" s="33" t="n">
        <v>0</v>
      </c>
      <c r="G271" s="33" t="n">
        <v>325612</v>
      </c>
      <c r="H271" s="33" t="n">
        <v>169650</v>
      </c>
      <c r="I271" s="33" t="n">
        <v>554070</v>
      </c>
      <c r="J271" s="33" t="n">
        <v>136425</v>
      </c>
      <c r="K271" s="33" t="n">
        <v>65074</v>
      </c>
      <c r="L271" s="33" t="n">
        <v>14886</v>
      </c>
      <c r="M271" s="12" t="n">
        <f aca="false">SUM(D271:L271)</f>
        <v>1265717</v>
      </c>
      <c r="N271" s="11" t="n">
        <f aca="false">Proyectos!$I$10/3</f>
        <v>61427.6666666667</v>
      </c>
      <c r="O271" s="11" t="n">
        <f aca="false">Proyectos!$I$10/3</f>
        <v>61427.6666666667</v>
      </c>
      <c r="P271" s="11" t="n">
        <f aca="false">Proyectos!$I$10/3</f>
        <v>61427.6666666667</v>
      </c>
      <c r="Q271" s="37" t="n">
        <f aca="false">SUM(N271:P271)</f>
        <v>184283</v>
      </c>
      <c r="R271" s="21" t="n">
        <f aca="false">M271+Q271</f>
        <v>1450000</v>
      </c>
      <c r="S271" s="10" t="str">
        <f aca="false">IF(COUNTIF('Presupuesto 2026'!$B:$B,$A271)=0,"",SUMIF('Presupuesto 2026'!$B:$B,$A271,'Presupuesto 2026'!$D:$D))</f>
        <v/>
      </c>
      <c r="T271" s="12" t="str">
        <f aca="false">IF(S271="","",R271-S271)</f>
        <v/>
      </c>
      <c r="U271" s="13" t="str">
        <f aca="false">IF(S271="","",IF(S271=0,"",T271/S271))</f>
        <v/>
      </c>
      <c r="X271" s="9" t="s">
        <v>455</v>
      </c>
      <c r="Y271" s="3" t="s">
        <v>456</v>
      </c>
    </row>
    <row r="272" customFormat="false" ht="15" hidden="false" customHeight="false" outlineLevel="0" collapsed="false">
      <c r="A272" s="9" t="s">
        <v>457</v>
      </c>
      <c r="B272" s="9" t="s">
        <v>147</v>
      </c>
      <c r="C272" s="9" t="s">
        <v>237</v>
      </c>
      <c r="D272" s="33" t="n">
        <v>0</v>
      </c>
      <c r="E272" s="33" t="n">
        <v>0</v>
      </c>
      <c r="F272" s="33" t="n">
        <v>0</v>
      </c>
      <c r="G272" s="33" t="n">
        <v>0</v>
      </c>
      <c r="H272" s="33" t="n">
        <v>0</v>
      </c>
      <c r="I272" s="33" t="n">
        <v>12667</v>
      </c>
      <c r="J272" s="33" t="n">
        <v>0</v>
      </c>
      <c r="K272" s="33" t="n">
        <v>8445</v>
      </c>
      <c r="L272" s="33" t="n">
        <v>0</v>
      </c>
      <c r="M272" s="12" t="n">
        <f aca="false">SUM(D272:L272)</f>
        <v>21112</v>
      </c>
      <c r="N272" s="11" t="n">
        <f aca="false">Proyectos!$I$8/3</f>
        <v>674252</v>
      </c>
      <c r="O272" s="11" t="n">
        <f aca="false">Proyectos!$I$8/3</f>
        <v>674252</v>
      </c>
      <c r="P272" s="11" t="n">
        <f aca="false">Proyectos!$I$8/3</f>
        <v>674252</v>
      </c>
      <c r="Q272" s="37" t="n">
        <f aca="false">SUM(N272:P272)</f>
        <v>2022756</v>
      </c>
      <c r="R272" s="21" t="n">
        <f aca="false">M272+Q272</f>
        <v>2043868</v>
      </c>
      <c r="S272" s="10" t="str">
        <f aca="false">IF(COUNTIF('Presupuesto 2026'!$B:$B,$A272)=0,"",SUMIF('Presupuesto 2026'!$B:$B,$A272,'Presupuesto 2026'!$D:$D))</f>
        <v/>
      </c>
      <c r="T272" s="12" t="str">
        <f aca="false">IF(S272="","",R272-S272)</f>
        <v/>
      </c>
      <c r="U272" s="13" t="str">
        <f aca="false">IF(S272="","",IF(S272=0,"",T272/S272))</f>
        <v/>
      </c>
      <c r="X272" s="9" t="s">
        <v>455</v>
      </c>
      <c r="Y272" s="3" t="s">
        <v>456</v>
      </c>
    </row>
    <row r="273" customFormat="false" ht="15" hidden="false" customHeight="false" outlineLevel="0" collapsed="false">
      <c r="A273" s="9" t="s">
        <v>458</v>
      </c>
      <c r="B273" s="9" t="s">
        <v>147</v>
      </c>
      <c r="C273" s="9" t="s">
        <v>237</v>
      </c>
      <c r="D273" s="33" t="n">
        <v>0</v>
      </c>
      <c r="E273" s="33" t="n">
        <v>0</v>
      </c>
      <c r="F273" s="33" t="n">
        <v>0</v>
      </c>
      <c r="G273" s="33" t="n">
        <v>0</v>
      </c>
      <c r="H273" s="33" t="n">
        <v>0</v>
      </c>
      <c r="I273" s="33" t="n">
        <v>0</v>
      </c>
      <c r="J273" s="33" t="n">
        <v>0</v>
      </c>
      <c r="K273" s="33" t="n">
        <v>0</v>
      </c>
      <c r="L273" s="33" t="n">
        <v>0</v>
      </c>
      <c r="M273" s="12" t="n">
        <f aca="false">SUM(D273:L273)</f>
        <v>0</v>
      </c>
      <c r="N273" s="11" t="n">
        <f aca="false">Proyectos!$I$9/3</f>
        <v>67133.3333333333</v>
      </c>
      <c r="O273" s="11" t="n">
        <f aca="false">Proyectos!$I$9/3</f>
        <v>67133.3333333333</v>
      </c>
      <c r="P273" s="11" t="n">
        <f aca="false">Proyectos!$I$9/3</f>
        <v>67133.3333333333</v>
      </c>
      <c r="Q273" s="37" t="n">
        <f aca="false">SUM(N273:P273)</f>
        <v>201400</v>
      </c>
      <c r="R273" s="21" t="n">
        <f aca="false">M273+Q273</f>
        <v>201400</v>
      </c>
      <c r="S273" s="10" t="str">
        <f aca="false">IF(COUNTIF('Presupuesto 2026'!$B:$B,$A273)=0,"",SUMIF('Presupuesto 2026'!$B:$B,$A273,'Presupuesto 2026'!$D:$D))</f>
        <v/>
      </c>
      <c r="T273" s="12" t="str">
        <f aca="false">IF(S273="","",R273-S273)</f>
        <v/>
      </c>
      <c r="U273" s="13" t="str">
        <f aca="false">IF(S273="","",IF(S273=0,"",T273/S273))</f>
        <v/>
      </c>
      <c r="X273" s="9" t="s">
        <v>455</v>
      </c>
      <c r="Y273" s="3" t="s">
        <v>456</v>
      </c>
    </row>
    <row r="274" customFormat="false" ht="15" hidden="false" customHeight="false" outlineLevel="0" collapsed="false">
      <c r="A274" s="40" t="s">
        <v>459</v>
      </c>
      <c r="B274" s="41"/>
      <c r="C274" s="41"/>
      <c r="D274" s="42" t="n">
        <f aca="false">SUM(D271:D273)</f>
        <v>0</v>
      </c>
      <c r="E274" s="42" t="n">
        <f aca="false">SUM(E271:E273)</f>
        <v>0</v>
      </c>
      <c r="F274" s="42" t="n">
        <f aca="false">SUM(F271:F273)</f>
        <v>0</v>
      </c>
      <c r="G274" s="42" t="n">
        <f aca="false">SUM(G271:G273)</f>
        <v>325612</v>
      </c>
      <c r="H274" s="42" t="n">
        <f aca="false">SUM(H271:H273)</f>
        <v>169650</v>
      </c>
      <c r="I274" s="42" t="n">
        <f aca="false">SUM(I271:I273)</f>
        <v>566737</v>
      </c>
      <c r="J274" s="42" t="n">
        <f aca="false">SUM(J271:J273)</f>
        <v>136425</v>
      </c>
      <c r="K274" s="42" t="n">
        <f aca="false">SUM(K271:K273)</f>
        <v>73519</v>
      </c>
      <c r="L274" s="42" t="n">
        <f aca="false">SUM(L271:L273)</f>
        <v>14886</v>
      </c>
      <c r="M274" s="42" t="n">
        <f aca="false">SUM(M271:M273)</f>
        <v>1286829</v>
      </c>
      <c r="N274" s="42" t="n">
        <f aca="false">SUM(N271:N273)</f>
        <v>802813</v>
      </c>
      <c r="O274" s="42" t="n">
        <f aca="false">SUM(O271:O273)</f>
        <v>802813</v>
      </c>
      <c r="P274" s="42" t="n">
        <f aca="false">SUM(P271:P273)</f>
        <v>802813</v>
      </c>
      <c r="Q274" s="42" t="n">
        <f aca="false">SUM(Q271:Q273)</f>
        <v>2408439</v>
      </c>
      <c r="R274" s="42" t="n">
        <f aca="false">SUM(R271:R273)</f>
        <v>3695268</v>
      </c>
      <c r="S274" s="41"/>
      <c r="T274" s="42" t="str">
        <f aca="false">IF(S274="","",R274-S274)</f>
        <v/>
      </c>
      <c r="U274" s="43" t="str">
        <f aca="false">IF(S274="","",IF(S274=0,"",T274/S274))</f>
        <v/>
      </c>
      <c r="V274" s="42" t="n">
        <f aca="false">SUM(V271:V273)</f>
        <v>0</v>
      </c>
      <c r="W274" s="41"/>
      <c r="X274" s="41"/>
      <c r="Y274" s="41"/>
    </row>
    <row r="276" customFormat="false" ht="15" hidden="false" customHeight="false" outlineLevel="0" collapsed="false">
      <c r="A276" s="6" t="s">
        <v>460</v>
      </c>
      <c r="B276" s="7" t="s">
        <v>461</v>
      </c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</row>
    <row r="277" customFormat="false" ht="15" hidden="false" customHeight="false" outlineLevel="0" collapsed="false">
      <c r="A277" s="9" t="s">
        <v>252</v>
      </c>
      <c r="B277" s="9" t="s">
        <v>253</v>
      </c>
      <c r="C277" s="9" t="s">
        <v>254</v>
      </c>
      <c r="D277" s="33" t="n">
        <v>0</v>
      </c>
      <c r="E277" s="33" t="n">
        <v>0</v>
      </c>
      <c r="F277" s="33" t="n">
        <v>0</v>
      </c>
      <c r="G277" s="33" t="n">
        <v>0</v>
      </c>
      <c r="H277" s="33" t="n">
        <v>29348</v>
      </c>
      <c r="I277" s="33" t="n">
        <v>42173</v>
      </c>
      <c r="J277" s="33" t="n">
        <v>0</v>
      </c>
      <c r="K277" s="33" t="n">
        <v>17609</v>
      </c>
      <c r="L277" s="33" t="n">
        <v>8574</v>
      </c>
      <c r="M277" s="12" t="n">
        <f aca="false">SUM(D277:L277)</f>
        <v>97704</v>
      </c>
      <c r="N277" s="37" t="n">
        <f aca="false">0</f>
        <v>0</v>
      </c>
      <c r="O277" s="37" t="n">
        <f aca="false">0</f>
        <v>0</v>
      </c>
      <c r="P277" s="37" t="n">
        <f aca="false">0</f>
        <v>0</v>
      </c>
      <c r="Q277" s="37" t="n">
        <f aca="false">SUM(N277:P277)</f>
        <v>0</v>
      </c>
      <c r="R277" s="21" t="n">
        <f aca="false">M277+Q277</f>
        <v>97704</v>
      </c>
      <c r="S277" s="10" t="str">
        <f aca="false">IF(COUNTIF('Presupuesto 2026'!$B:$B,$A277)=0,"",SUMIF('Presupuesto 2026'!$B:$B,$A277,'Presupuesto 2026'!$D:$D))</f>
        <v/>
      </c>
      <c r="T277" s="12" t="str">
        <f aca="false">IF(S277="","",R277-S277)</f>
        <v/>
      </c>
      <c r="U277" s="13" t="str">
        <f aca="false">IF(S277="","",IF(S277=0,"",T277/S277))</f>
        <v/>
      </c>
      <c r="X277" s="9" t="s">
        <v>255</v>
      </c>
      <c r="Y277" s="3" t="s">
        <v>256</v>
      </c>
    </row>
    <row r="278" customFormat="false" ht="15" hidden="false" customHeight="false" outlineLevel="0" collapsed="false">
      <c r="A278" s="40" t="s">
        <v>462</v>
      </c>
      <c r="B278" s="41"/>
      <c r="C278" s="41"/>
      <c r="D278" s="42" t="n">
        <f aca="false">SUM(D277:D277)</f>
        <v>0</v>
      </c>
      <c r="E278" s="42" t="n">
        <f aca="false">SUM(E277:E277)</f>
        <v>0</v>
      </c>
      <c r="F278" s="42" t="n">
        <f aca="false">SUM(F277:F277)</f>
        <v>0</v>
      </c>
      <c r="G278" s="42" t="n">
        <f aca="false">SUM(G277:G277)</f>
        <v>0</v>
      </c>
      <c r="H278" s="42" t="n">
        <f aca="false">SUM(H277:H277)</f>
        <v>29348</v>
      </c>
      <c r="I278" s="42" t="n">
        <f aca="false">SUM(I277:I277)</f>
        <v>42173</v>
      </c>
      <c r="J278" s="42" t="n">
        <f aca="false">SUM(J277:J277)</f>
        <v>0</v>
      </c>
      <c r="K278" s="42" t="n">
        <f aca="false">SUM(K277:K277)</f>
        <v>17609</v>
      </c>
      <c r="L278" s="42" t="n">
        <f aca="false">SUM(L277:L277)</f>
        <v>8574</v>
      </c>
      <c r="M278" s="42" t="n">
        <f aca="false">SUM(M277:M277)</f>
        <v>97704</v>
      </c>
      <c r="N278" s="42" t="n">
        <f aca="false">SUM(N277:N277)</f>
        <v>0</v>
      </c>
      <c r="O278" s="42" t="n">
        <f aca="false">SUM(O277:O277)</f>
        <v>0</v>
      </c>
      <c r="P278" s="42" t="n">
        <f aca="false">SUM(P277:P277)</f>
        <v>0</v>
      </c>
      <c r="Q278" s="42" t="n">
        <f aca="false">SUM(Q277:Q277)</f>
        <v>0</v>
      </c>
      <c r="R278" s="42" t="n">
        <f aca="false">SUM(R277:R277)</f>
        <v>97704</v>
      </c>
      <c r="S278" s="41"/>
      <c r="T278" s="42" t="str">
        <f aca="false">IF(S278="","",R278-S278)</f>
        <v/>
      </c>
      <c r="U278" s="43" t="str">
        <f aca="false">IF(S278="","",IF(S278=0,"",T278/S278))</f>
        <v/>
      </c>
      <c r="V278" s="42" t="n">
        <f aca="false">SUM(V277:V277)</f>
        <v>0</v>
      </c>
      <c r="W278" s="41"/>
      <c r="X278" s="41"/>
      <c r="Y278" s="41"/>
    </row>
    <row r="280" customFormat="false" ht="15" hidden="false" customHeight="false" outlineLevel="0" collapsed="false">
      <c r="A280" s="6" t="s">
        <v>463</v>
      </c>
      <c r="B280" s="7" t="s">
        <v>44</v>
      </c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</row>
    <row r="281" customFormat="false" ht="15" hidden="false" customHeight="false" outlineLevel="0" collapsed="false">
      <c r="A281" s="9" t="s">
        <v>464</v>
      </c>
      <c r="B281" s="9" t="s">
        <v>43</v>
      </c>
      <c r="C281" s="9" t="s">
        <v>221</v>
      </c>
      <c r="D281" s="33" t="n">
        <v>113327</v>
      </c>
      <c r="E281" s="33" t="n">
        <v>113327</v>
      </c>
      <c r="F281" s="33" t="n">
        <v>113327</v>
      </c>
      <c r="G281" s="33" t="n">
        <v>111748</v>
      </c>
      <c r="H281" s="33" t="n">
        <v>66254</v>
      </c>
      <c r="I281" s="33" t="n">
        <v>90333</v>
      </c>
      <c r="J281" s="33" t="n">
        <v>90333</v>
      </c>
      <c r="K281" s="33" t="n">
        <v>90333</v>
      </c>
      <c r="L281" s="33" t="n">
        <v>93667</v>
      </c>
      <c r="M281" s="12" t="n">
        <f aca="false">SUM(D281:L281)</f>
        <v>882649</v>
      </c>
      <c r="N281" s="11" t="n">
        <f aca="false">$L281</f>
        <v>93667</v>
      </c>
      <c r="O281" s="11" t="n">
        <f aca="false">$L281</f>
        <v>93667</v>
      </c>
      <c r="P281" s="11" t="n">
        <f aca="false">$L281+Proyectos!$I$7*Supuestos!$C$22/12*Supuestos!$C$23</f>
        <v>104853.360833333</v>
      </c>
      <c r="Q281" s="37" t="n">
        <f aca="false">SUM(N281:P281)</f>
        <v>292187.360833333</v>
      </c>
      <c r="R281" s="21" t="n">
        <f aca="false">M281+Q281</f>
        <v>1174836.36083333</v>
      </c>
      <c r="S281" s="10" t="n">
        <f aca="false">IF(COUNTIF('Presupuesto 2026'!$B:$B,$A281)=0,"",SUMIF('Presupuesto 2026'!$B:$B,$A281,'Presupuesto 2026'!$D:$D))</f>
        <v>1337386</v>
      </c>
      <c r="T281" s="12" t="n">
        <f aca="false">IF(S281="","",R281-S281)</f>
        <v>-162549.639166667</v>
      </c>
      <c r="U281" s="13" t="n">
        <f aca="false">IF(S281="","",IF(S281=0,"",T281/S281))</f>
        <v>-0.121542800034296</v>
      </c>
      <c r="V281" s="33" t="n">
        <v>1337386</v>
      </c>
      <c r="X281" s="9" t="s">
        <v>465</v>
      </c>
      <c r="Y281" s="3" t="s">
        <v>466</v>
      </c>
    </row>
    <row r="282" customFormat="false" ht="15" hidden="false" customHeight="false" outlineLevel="0" collapsed="false">
      <c r="A282" s="40" t="s">
        <v>467</v>
      </c>
      <c r="B282" s="41"/>
      <c r="C282" s="41"/>
      <c r="D282" s="42" t="n">
        <f aca="false">SUM(D281:D281)</f>
        <v>113327</v>
      </c>
      <c r="E282" s="42" t="n">
        <f aca="false">SUM(E281:E281)</f>
        <v>113327</v>
      </c>
      <c r="F282" s="42" t="n">
        <f aca="false">SUM(F281:F281)</f>
        <v>113327</v>
      </c>
      <c r="G282" s="42" t="n">
        <f aca="false">SUM(G281:G281)</f>
        <v>111748</v>
      </c>
      <c r="H282" s="42" t="n">
        <f aca="false">SUM(H281:H281)</f>
        <v>66254</v>
      </c>
      <c r="I282" s="42" t="n">
        <f aca="false">SUM(I281:I281)</f>
        <v>90333</v>
      </c>
      <c r="J282" s="42" t="n">
        <f aca="false">SUM(J281:J281)</f>
        <v>90333</v>
      </c>
      <c r="K282" s="42" t="n">
        <f aca="false">SUM(K281:K281)</f>
        <v>90333</v>
      </c>
      <c r="L282" s="42" t="n">
        <f aca="false">SUM(L281:L281)</f>
        <v>93667</v>
      </c>
      <c r="M282" s="42" t="n">
        <f aca="false">SUM(M281:M281)</f>
        <v>882649</v>
      </c>
      <c r="N282" s="42" t="n">
        <f aca="false">SUM(N281:N281)</f>
        <v>93667</v>
      </c>
      <c r="O282" s="42" t="n">
        <f aca="false">SUM(O281:O281)</f>
        <v>93667</v>
      </c>
      <c r="P282" s="42" t="n">
        <f aca="false">SUM(P281:P281)</f>
        <v>104853.360833333</v>
      </c>
      <c r="Q282" s="42" t="n">
        <f aca="false">SUM(Q281:Q281)</f>
        <v>292187.360833333</v>
      </c>
      <c r="R282" s="42" t="n">
        <f aca="false">SUM(R281:R281)</f>
        <v>1174836.36083333</v>
      </c>
      <c r="S282" s="42" t="n">
        <f aca="false">SUM(S281:S281)</f>
        <v>1337386</v>
      </c>
      <c r="T282" s="42" t="n">
        <f aca="false">IF(S282="","",R282-S282)</f>
        <v>-162549.639166667</v>
      </c>
      <c r="U282" s="43" t="n">
        <f aca="false">IF(S282="","",IF(S282=0,"",T282/S282))</f>
        <v>-0.121542800034296</v>
      </c>
      <c r="V282" s="42" t="n">
        <f aca="false">SUM(V281:V281)</f>
        <v>1337386</v>
      </c>
      <c r="W282" s="41"/>
      <c r="X282" s="41"/>
      <c r="Y282" s="41"/>
    </row>
    <row r="284" customFormat="false" ht="15" hidden="false" customHeight="false" outlineLevel="0" collapsed="false">
      <c r="A284" s="40" t="s">
        <v>468</v>
      </c>
      <c r="D284" s="42" t="n">
        <f aca="false">D33+D52+D69+D89+D109+D130+D147+D166+D183+D199+D218+D244+D268+D274+D278+D282</f>
        <v>3340270</v>
      </c>
      <c r="E284" s="42" t="n">
        <f aca="false">E33+E52+E69+E89+E109+E130+E147+E166+E183+E199+E218+E244+E268+E274+E278+E282</f>
        <v>3563219</v>
      </c>
      <c r="F284" s="42" t="n">
        <f aca="false">F33+F52+F69+F89+F109+F130+F147+F166+F183+F199+F218+F244+F268+F274+F278+F282</f>
        <v>3475261</v>
      </c>
      <c r="G284" s="42" t="n">
        <f aca="false">G33+G52+G69+G89+G109+G130+G147+G166+G183+G199+G218+G244+G268+G274+G278+G282</f>
        <v>4302738</v>
      </c>
      <c r="H284" s="42" t="n">
        <f aca="false">H33+H52+H69+H89+H109+H130+H147+H166+H183+H199+H218+H244+H268+H274+H278+H282</f>
        <v>3471843</v>
      </c>
      <c r="I284" s="42" t="n">
        <f aca="false">I33+I52+I69+I89+I109+I130+I147+I166+I183+I199+I218+I244+I268+I274+I278+I282</f>
        <v>4305317</v>
      </c>
      <c r="J284" s="42" t="n">
        <f aca="false">J33+J52+J69+J89+J109+J130+J147+J166+J183+J199+J218+J244+J268+J274+J278+J282</f>
        <v>3123011</v>
      </c>
      <c r="K284" s="42" t="n">
        <f aca="false">K33+K52+K69+K89+K109+K130+K147+K166+K183+K199+K218+K244+K268+K274+K278+K282</f>
        <v>3364058</v>
      </c>
      <c r="L284" s="42" t="n">
        <f aca="false">L33+L52+L69+L89+L109+L130+L147+L166+L183+L199+L218+L244+L268+L274+L278+L282</f>
        <v>2880851</v>
      </c>
      <c r="M284" s="42" t="n">
        <f aca="false">M33+M52+M69+M89+M109+M130+M147+M166+M183+M199+M218+M244+M268+M274+M278+M282</f>
        <v>31826568</v>
      </c>
      <c r="N284" s="42" t="n">
        <f aca="false">N33+N52+N69+N89+N109+N130+N147+N166+N183+N199+N218+N244+N268+N274+N278+N282</f>
        <v>4175856.44444444</v>
      </c>
      <c r="O284" s="42" t="n">
        <f aca="false">O33+O52+O69+O89+O109+O130+O147+O166+O183+O199+O218+O244+O268+O274+O278+O282</f>
        <v>3710893.44444444</v>
      </c>
      <c r="P284" s="42" t="n">
        <f aca="false">P33+P52+P69+P89+P109+P130+P147+P166+P183+P199+P218+P244+P268+P274+P278+P282</f>
        <v>5731817.27273392</v>
      </c>
      <c r="Q284" s="42" t="n">
        <f aca="false">Q33+Q52+Q69+Q89+Q109+Q130+Q147+Q166+Q183+Q199+Q218+Q244+Q268+Q274+Q278+Q282</f>
        <v>13618567.1616228</v>
      </c>
      <c r="R284" s="42" t="n">
        <f aca="false">R33+R52+R69+R89+R109+R130+R147+R166+R183+R199+R218+R244+R268+R274+R278+R282</f>
        <v>45445135.1616228</v>
      </c>
      <c r="S284" s="42" t="n">
        <f aca="false">N(S33)+N(S52)+N(S69)+N(S89)+N(S109)+N(S130)+N(S147)+N(S166)+N(S183)+N(S199)+N(S218)+N(S244)+N(S268)+N(S274)+N(S278)+N(S282)</f>
        <v>39481060.31</v>
      </c>
      <c r="T284" s="20" t="n">
        <f aca="false">IF(S284="","",R284-S284)</f>
        <v>5964074.8516228</v>
      </c>
      <c r="U284" s="46" t="n">
        <f aca="false">IF(S284="","",IF(S284=0,"",T284/S284))</f>
        <v>0.151061668678442</v>
      </c>
      <c r="V284" s="42" t="n">
        <f aca="false">V33+V52+V69+V89+V109+V130+V147+V166+V183+V199+V218+V244+V268+V274+V278+V282</f>
        <v>40908025</v>
      </c>
      <c r="X284" s="9" t="s">
        <v>469</v>
      </c>
      <c r="Y284" s="3" t="s">
        <v>470</v>
      </c>
    </row>
    <row r="286" customFormat="false" ht="15" hidden="false" customHeight="false" outlineLevel="0" collapsed="false">
      <c r="A286" s="47" t="s">
        <v>471</v>
      </c>
      <c r="D286" s="48" t="n">
        <f aca="false">D28-D284</f>
        <v>2844743</v>
      </c>
      <c r="E286" s="48" t="n">
        <f aca="false">E28-E284</f>
        <v>-1710164</v>
      </c>
      <c r="F286" s="48" t="n">
        <f aca="false">F28-F284</f>
        <v>2352719</v>
      </c>
      <c r="G286" s="48" t="n">
        <f aca="false">G28-G284</f>
        <v>3731451</v>
      </c>
      <c r="H286" s="48" t="n">
        <f aca="false">H28-H284</f>
        <v>-582961</v>
      </c>
      <c r="I286" s="48" t="n">
        <f aca="false">I28-I284</f>
        <v>-1623455</v>
      </c>
      <c r="J286" s="48" t="n">
        <f aca="false">J28-J284</f>
        <v>1364688</v>
      </c>
      <c r="K286" s="48" t="n">
        <f aca="false">K28-K284</f>
        <v>-10585</v>
      </c>
      <c r="L286" s="48" t="n">
        <f aca="false">L28-L284</f>
        <v>377323</v>
      </c>
      <c r="M286" s="48" t="n">
        <f aca="false">M28-M284</f>
        <v>6743759</v>
      </c>
      <c r="N286" s="48" t="n">
        <f aca="false">N28-N284</f>
        <v>-250250.703573432</v>
      </c>
      <c r="O286" s="48" t="n">
        <f aca="false">O28-O284</f>
        <v>-332366.881654754</v>
      </c>
      <c r="P286" s="48" t="n">
        <f aca="false">P28-P284</f>
        <v>-756626.83046341</v>
      </c>
      <c r="Q286" s="48" t="n">
        <f aca="false">Q28-Q284</f>
        <v>-1339244.4156916</v>
      </c>
      <c r="R286" s="48" t="n">
        <f aca="false">R28-R284</f>
        <v>5404514.58430841</v>
      </c>
      <c r="S286" s="48" t="n">
        <f aca="false">S28-S284</f>
        <v>29630.7899999991</v>
      </c>
      <c r="T286" s="20" t="n">
        <f aca="false">IF(S286="","",R286-S286)</f>
        <v>5374883.79430841</v>
      </c>
      <c r="U286" s="46" t="n">
        <f aca="false">IF(S286="","",IF(S286=0,"",T286/S286))</f>
        <v>181.395224167448</v>
      </c>
      <c r="V286" s="48" t="n">
        <f aca="false">V28-V284</f>
        <v>-360270</v>
      </c>
      <c r="X286" s="9" t="s">
        <v>472</v>
      </c>
      <c r="Y286" s="3" t="s">
        <v>473</v>
      </c>
    </row>
    <row r="288" customFormat="false" ht="15" hidden="false" customHeight="false" outlineLevel="0" collapsed="false">
      <c r="A288" s="3" t="s">
        <v>474</v>
      </c>
      <c r="M288" s="33" t="n">
        <v>6743756</v>
      </c>
      <c r="N288" s="12" t="n">
        <f aca="false">ROUND(M286-M288,0)</f>
        <v>3</v>
      </c>
      <c r="O288" s="3" t="s">
        <v>475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18A8D"/>
    <pageSetUpPr fitToPage="true"/>
  </sheetPr>
  <dimension ref="A1:T2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8"/>
    <col collapsed="false" customWidth="true" hidden="false" outlineLevel="0" max="4" min="2" style="0" width="13"/>
    <col collapsed="false" customWidth="true" hidden="false" outlineLevel="0" max="5" min="5" style="0" width="14"/>
    <col collapsed="false" customWidth="true" hidden="false" outlineLevel="0" max="6" min="6" style="0" width="13"/>
    <col collapsed="false" customWidth="true" hidden="false" outlineLevel="0" max="7" min="7" style="0" width="10"/>
    <col collapsed="false" customWidth="true" hidden="false" outlineLevel="0" max="10" min="8" style="0" width="13"/>
    <col collapsed="false" customWidth="true" hidden="false" outlineLevel="0" max="11" min="11" style="0" width="14"/>
    <col collapsed="false" customWidth="true" hidden="false" outlineLevel="0" max="13" min="12" style="0" width="15"/>
    <col collapsed="false" customWidth="true" hidden="false" outlineLevel="0" max="14" min="14" style="0" width="24"/>
    <col collapsed="false" customWidth="true" hidden="false" outlineLevel="0" max="15" min="15" style="0" width="2"/>
    <col collapsed="false" customWidth="true" hidden="false" outlineLevel="0" max="16" min="16" style="0" width="14"/>
    <col collapsed="false" customWidth="true" hidden="false" outlineLevel="0" max="17" min="17" style="0" width="2"/>
    <col collapsed="false" customWidth="true" hidden="false" outlineLevel="0" max="20" min="18" style="0" width="15"/>
  </cols>
  <sheetData>
    <row r="1" customFormat="false" ht="17.35" hidden="false" customHeight="false" outlineLevel="0" collapsed="false">
      <c r="A1" s="1" t="s">
        <v>476</v>
      </c>
    </row>
    <row r="2" customFormat="false" ht="15" hidden="false" customHeight="false" outlineLevel="0" collapsed="false">
      <c r="A2" s="2" t="s">
        <v>477</v>
      </c>
    </row>
    <row r="3" customFormat="false" ht="15" hidden="false" customHeight="false" outlineLevel="0" collapsed="false">
      <c r="A3" s="3" t="s">
        <v>478</v>
      </c>
    </row>
    <row r="6" customFormat="false" ht="48" hidden="false" customHeight="true" outlineLevel="0" collapsed="false">
      <c r="A6" s="4" t="s">
        <v>479</v>
      </c>
      <c r="B6" s="4" t="s">
        <v>480</v>
      </c>
      <c r="C6" s="4" t="s">
        <v>481</v>
      </c>
      <c r="D6" s="4" t="s">
        <v>482</v>
      </c>
      <c r="E6" s="4" t="s">
        <v>483</v>
      </c>
      <c r="F6" s="4" t="s">
        <v>484</v>
      </c>
      <c r="G6" s="4" t="s">
        <v>485</v>
      </c>
      <c r="H6" s="4" t="s">
        <v>486</v>
      </c>
      <c r="I6" s="4" t="s">
        <v>487</v>
      </c>
      <c r="J6" s="4" t="s">
        <v>488</v>
      </c>
      <c r="K6" s="4" t="s">
        <v>489</v>
      </c>
      <c r="L6" s="4" t="s">
        <v>490</v>
      </c>
      <c r="M6" s="4" t="s">
        <v>491</v>
      </c>
      <c r="N6" s="4" t="s">
        <v>492</v>
      </c>
      <c r="P6" s="4" t="s">
        <v>493</v>
      </c>
      <c r="R6" s="4" t="s">
        <v>494</v>
      </c>
      <c r="S6" s="4" t="s">
        <v>495</v>
      </c>
      <c r="T6" s="5" t="s">
        <v>496</v>
      </c>
    </row>
    <row r="7" customFormat="false" ht="25.5" hidden="false" customHeight="true" outlineLevel="0" collapsed="false">
      <c r="A7" s="49" t="s">
        <v>497</v>
      </c>
      <c r="B7" s="33" t="n">
        <v>6620000</v>
      </c>
      <c r="C7" s="50" t="n">
        <v>6620000</v>
      </c>
      <c r="D7" s="10" t="n">
        <f aca="false">'Proyeccion ER'!M11</f>
        <v>6088364</v>
      </c>
      <c r="E7" s="10" t="n">
        <f aca="false">'Proyeccion ER'!Q11</f>
        <v>402701.880864222</v>
      </c>
      <c r="F7" s="12" t="n">
        <f aca="false">D7+E7</f>
        <v>6491065.88086422</v>
      </c>
      <c r="G7" s="13" t="n">
        <f aca="false">IF(B7=0,"",F7/B7)</f>
        <v>0.980523546958342</v>
      </c>
      <c r="H7" s="33" t="n">
        <v>5277636.7</v>
      </c>
      <c r="I7" s="12" t="n">
        <f aca="false">MAX(0,C7-H7)</f>
        <v>1342363.3</v>
      </c>
      <c r="J7" s="12" t="n">
        <f aca="false">H7+I7</f>
        <v>6620000</v>
      </c>
      <c r="K7" s="20" t="n">
        <f aca="false">F7-J7</f>
        <v>-128934.119135777</v>
      </c>
      <c r="L7" s="12" t="n">
        <f aca="false">MAX(0,B7-F7)</f>
        <v>128934.119135777</v>
      </c>
      <c r="M7" s="12" t="n">
        <f aca="false">MAX(0,C7-B7)</f>
        <v>0</v>
      </c>
      <c r="N7" s="51" t="s">
        <v>498</v>
      </c>
      <c r="P7" s="12" t="n">
        <f aca="false">D7-H7</f>
        <v>810727.3</v>
      </c>
      <c r="R7" s="10" t="n">
        <f aca="false">SUM('Proyeccion ER'!J11:L11)*Supuestos!$C$9</f>
        <v>208977.426447809</v>
      </c>
      <c r="S7" s="12" t="n">
        <f aca="false">MAX(0,B7-D7-R7)</f>
        <v>322658.573552191</v>
      </c>
      <c r="T7" s="11" t="n">
        <f aca="false">IF(SUM($S$7:$S$10)=0,0,MIN(S7,Supuestos!$C$25*S7/SUM($S$7:$S$10)))</f>
        <v>193724.454416414</v>
      </c>
    </row>
    <row r="8" customFormat="false" ht="25.5" hidden="false" customHeight="true" outlineLevel="0" collapsed="false">
      <c r="A8" s="49" t="s">
        <v>499</v>
      </c>
      <c r="B8" s="33" t="n">
        <v>2200000</v>
      </c>
      <c r="C8" s="50" t="n">
        <v>2200000</v>
      </c>
      <c r="D8" s="10" t="n">
        <f aca="false">'Proyeccion ER'!M13+'Proyeccion ER'!M20</f>
        <v>1532848</v>
      </c>
      <c r="E8" s="10" t="n">
        <f aca="false">'Proyeccion ER'!Q13+'Proyeccion ER'!Q20</f>
        <v>485656.777443048</v>
      </c>
      <c r="F8" s="12" t="n">
        <f aca="false">D8+E8</f>
        <v>2018504.77744305</v>
      </c>
      <c r="G8" s="13" t="n">
        <f aca="false">IF(B8=0,"",F8/B8)</f>
        <v>0.917502171565022</v>
      </c>
      <c r="H8" s="10" t="n">
        <f aca="false">'Proyeccion ER'!M235+'Proyeccion ER'!M272</f>
        <v>177244</v>
      </c>
      <c r="I8" s="12" t="n">
        <f aca="false">MAX(0,C8-H8)</f>
        <v>2022756</v>
      </c>
      <c r="J8" s="12" t="n">
        <f aca="false">H8+I8</f>
        <v>2200000</v>
      </c>
      <c r="K8" s="20" t="n">
        <f aca="false">F8-J8</f>
        <v>-181495.222556952</v>
      </c>
      <c r="L8" s="12" t="n">
        <f aca="false">MAX(0,B8-F8)</f>
        <v>181495.222556952</v>
      </c>
      <c r="M8" s="12" t="n">
        <f aca="false">MAX(0,C8-B8)</f>
        <v>0</v>
      </c>
      <c r="N8" s="51" t="s">
        <v>500</v>
      </c>
      <c r="P8" s="12" t="n">
        <f aca="false">D8-H8</f>
        <v>1355604</v>
      </c>
      <c r="R8" s="10" t="n">
        <f aca="false">SUM('Proyeccion ER'!J13:L13)*Supuestos!$C$9</f>
        <v>212958.881768088</v>
      </c>
      <c r="S8" s="12" t="n">
        <f aca="false">MAX(0,B8-D8-R8)</f>
        <v>454193.118231912</v>
      </c>
      <c r="T8" s="11" t="n">
        <f aca="false">IF(SUM($S$7:$S$10)=0,0,MIN(S8,Supuestos!$C$25*S8/SUM($S$7:$S$10)))</f>
        <v>272697.89567496</v>
      </c>
    </row>
    <row r="9" customFormat="false" ht="25.5" hidden="false" customHeight="true" outlineLevel="0" collapsed="false">
      <c r="A9" s="49" t="s">
        <v>501</v>
      </c>
      <c r="B9" s="33" t="n">
        <v>201400</v>
      </c>
      <c r="C9" s="50" t="n">
        <v>201400</v>
      </c>
      <c r="D9" s="10" t="n">
        <f aca="false">'Proyeccion ER'!M12</f>
        <v>149414</v>
      </c>
      <c r="E9" s="10" t="n">
        <f aca="false">'Proyeccion ER'!Q12</f>
        <v>39005.9906093078</v>
      </c>
      <c r="F9" s="12" t="n">
        <f aca="false">D9+E9</f>
        <v>188419.990609308</v>
      </c>
      <c r="G9" s="13" t="n">
        <f aca="false">IF(B9=0,"",F9/B9)</f>
        <v>0.935551095378887</v>
      </c>
      <c r="H9" s="10" t="n">
        <f aca="false">'Proyeccion ER'!M273</f>
        <v>0</v>
      </c>
      <c r="I9" s="12" t="n">
        <f aca="false">MAX(0,C9-H9)</f>
        <v>201400</v>
      </c>
      <c r="J9" s="12" t="n">
        <f aca="false">H9+I9</f>
        <v>201400</v>
      </c>
      <c r="K9" s="20" t="n">
        <f aca="false">F9-J9</f>
        <v>-12980.0093906922</v>
      </c>
      <c r="L9" s="12" t="n">
        <f aca="false">MAX(0,B9-F9)</f>
        <v>12980.0093906922</v>
      </c>
      <c r="M9" s="12" t="n">
        <f aca="false">MAX(0,C9-B9)</f>
        <v>0</v>
      </c>
      <c r="N9" s="51" t="s">
        <v>500</v>
      </c>
      <c r="P9" s="12" t="n">
        <f aca="false">D9-H9</f>
        <v>149414</v>
      </c>
      <c r="R9" s="10" t="n">
        <f aca="false">SUM('Proyeccion ER'!J12:L12)*Supuestos!$C$9</f>
        <v>19503.4318266805</v>
      </c>
      <c r="S9" s="12" t="n">
        <f aca="false">MAX(0,B9-D9-R9)</f>
        <v>32482.5681733195</v>
      </c>
      <c r="T9" s="11" t="n">
        <f aca="false">IF(SUM($S$7:$S$10)=0,0,MIN(S9,Supuestos!$C$25*S9/SUM($S$7:$S$10)))</f>
        <v>19502.5587826273</v>
      </c>
    </row>
    <row r="10" customFormat="false" ht="25.5" hidden="false" customHeight="true" outlineLevel="0" collapsed="false">
      <c r="A10" s="49" t="s">
        <v>502</v>
      </c>
      <c r="B10" s="33" t="n">
        <v>852600</v>
      </c>
      <c r="C10" s="50" t="n">
        <v>1450000</v>
      </c>
      <c r="D10" s="10" t="n">
        <f aca="false">'Proyeccion ER'!M14</f>
        <v>585979</v>
      </c>
      <c r="E10" s="10" t="n">
        <f aca="false">'Proyeccion ER'!Q14</f>
        <v>190697.847014632</v>
      </c>
      <c r="F10" s="12" t="n">
        <f aca="false">D10+E10</f>
        <v>776676.847014632</v>
      </c>
      <c r="G10" s="13" t="n">
        <f aca="false">IF(B10=0,"",F10/B10)</f>
        <v>0.910951028635506</v>
      </c>
      <c r="H10" s="10" t="n">
        <f aca="false">'Proyeccion ER'!M271</f>
        <v>1265717</v>
      </c>
      <c r="I10" s="12" t="n">
        <f aca="false">MAX(0,C10-H10)</f>
        <v>184283</v>
      </c>
      <c r="J10" s="12" t="n">
        <f aca="false">H10+I10</f>
        <v>1450000</v>
      </c>
      <c r="K10" s="20" t="n">
        <f aca="false">F10-J10</f>
        <v>-673323.152985368</v>
      </c>
      <c r="L10" s="12" t="n">
        <f aca="false">MAX(0,B10-F10)</f>
        <v>75923.1529853677</v>
      </c>
      <c r="M10" s="12" t="n">
        <f aca="false">MAX(0,C10-B10)</f>
        <v>597400</v>
      </c>
      <c r="N10" s="51" t="s">
        <v>500</v>
      </c>
      <c r="P10" s="12" t="n">
        <f aca="false">D10-H10</f>
        <v>-679738</v>
      </c>
      <c r="R10" s="10" t="n">
        <f aca="false">SUM('Proyeccion ER'!J14:L14)*Supuestos!$C$9</f>
        <v>76622.7558886331</v>
      </c>
      <c r="S10" s="12" t="n">
        <f aca="false">MAX(0,B10-D10-R10)</f>
        <v>189998.244111367</v>
      </c>
      <c r="T10" s="11" t="n">
        <f aca="false">IF(SUM($S$7:$S$10)=0,0,MIN(S10,Supuestos!$C$25*S10/SUM($S$7:$S$10)))</f>
        <v>114075.091125999</v>
      </c>
    </row>
    <row r="11" customFormat="false" ht="25.5" hidden="false" customHeight="true" outlineLevel="0" collapsed="false">
      <c r="A11" s="49" t="s">
        <v>503</v>
      </c>
      <c r="D11" s="10" t="n">
        <f aca="false">'Proyeccion ER'!M19</f>
        <v>109951</v>
      </c>
      <c r="E11" s="10" t="n">
        <f aca="false">'Proyeccion ER'!Q19</f>
        <v>0</v>
      </c>
      <c r="F11" s="12" t="n">
        <f aca="false">D11+E11</f>
        <v>109951</v>
      </c>
      <c r="H11" s="10" t="n">
        <f aca="false">'Proyeccion ER'!M277</f>
        <v>97704</v>
      </c>
      <c r="I11" s="10" t="n">
        <f aca="false">'Proyeccion ER'!Q277</f>
        <v>0</v>
      </c>
      <c r="J11" s="12" t="n">
        <f aca="false">H11+I11</f>
        <v>97704</v>
      </c>
      <c r="K11" s="20" t="n">
        <f aca="false">F11-J11</f>
        <v>12247</v>
      </c>
      <c r="N11" s="51" t="s">
        <v>500</v>
      </c>
      <c r="P11" s="12" t="n">
        <f aca="false">D11-H11</f>
        <v>12247</v>
      </c>
    </row>
    <row r="12" customFormat="false" ht="15" hidden="false" customHeight="false" outlineLevel="0" collapsed="false">
      <c r="A12" s="26" t="s">
        <v>81</v>
      </c>
      <c r="B12" s="28" t="n">
        <f aca="false">SUM(B7:B11)</f>
        <v>9874000</v>
      </c>
      <c r="C12" s="28" t="n">
        <f aca="false">SUM(C7:C11)</f>
        <v>10471400</v>
      </c>
      <c r="D12" s="28" t="n">
        <f aca="false">SUM(D7:D11)</f>
        <v>8466556</v>
      </c>
      <c r="E12" s="28" t="n">
        <f aca="false">SUM(E7:E11)</f>
        <v>1118062.49593121</v>
      </c>
      <c r="F12" s="28" t="n">
        <f aca="false">SUM(F7:F11)</f>
        <v>9584618.49593121</v>
      </c>
      <c r="H12" s="28" t="n">
        <f aca="false">SUM(H7:H11)</f>
        <v>6818301.7</v>
      </c>
      <c r="I12" s="28" t="n">
        <f aca="false">SUM(I7:I11)</f>
        <v>3750802.3</v>
      </c>
      <c r="J12" s="28" t="n">
        <f aca="false">SUM(J7:J11)</f>
        <v>10569104</v>
      </c>
      <c r="K12" s="28" t="n">
        <f aca="false">SUM(K7:K11)</f>
        <v>-984485.50406879</v>
      </c>
      <c r="L12" s="28" t="n">
        <f aca="false">SUM(L7:L11)</f>
        <v>399332.50406879</v>
      </c>
      <c r="M12" s="28" t="n">
        <f aca="false">SUM(M7:M11)</f>
        <v>597400</v>
      </c>
      <c r="P12" s="28" t="n">
        <f aca="false">SUM(P7:P11)</f>
        <v>1648254.3</v>
      </c>
      <c r="R12" s="28" t="n">
        <f aca="false">SUM(R7:R11)</f>
        <v>518062.49593121</v>
      </c>
      <c r="S12" s="28" t="n">
        <f aca="false">SUM(S7:S11)</f>
        <v>999332.50406879</v>
      </c>
      <c r="T12" s="28" t="n">
        <f aca="false">SUM(T7:T11)</f>
        <v>600000</v>
      </c>
    </row>
    <row r="14" customFormat="false" ht="15" hidden="false" customHeight="false" outlineLevel="0" collapsed="false">
      <c r="A14" s="35" t="s">
        <v>504</v>
      </c>
    </row>
    <row r="15" customFormat="false" ht="15" hidden="false" customHeight="false" outlineLevel="0" collapsed="false">
      <c r="A15" s="9" t="s">
        <v>505</v>
      </c>
    </row>
    <row r="16" customFormat="false" ht="15" hidden="false" customHeight="false" outlineLevel="0" collapsed="false">
      <c r="A16" s="3" t="s">
        <v>506</v>
      </c>
    </row>
    <row r="17" customFormat="false" ht="15" hidden="false" customHeight="false" outlineLevel="0" collapsed="false">
      <c r="A17" s="9" t="s">
        <v>507</v>
      </c>
    </row>
    <row r="18" customFormat="false" ht="15" hidden="false" customHeight="false" outlineLevel="0" collapsed="false">
      <c r="A18" s="3" t="s">
        <v>508</v>
      </c>
    </row>
    <row r="19" customFormat="false" ht="15" hidden="false" customHeight="false" outlineLevel="0" collapsed="false">
      <c r="A19" s="9" t="s">
        <v>509</v>
      </c>
    </row>
    <row r="20" customFormat="false" ht="15" hidden="false" customHeight="false" outlineLevel="0" collapsed="false">
      <c r="A20" s="3" t="s">
        <v>510</v>
      </c>
    </row>
    <row r="21" customFormat="false" ht="15" hidden="false" customHeight="false" outlineLevel="0" collapsed="false">
      <c r="A21" s="9" t="s">
        <v>511</v>
      </c>
    </row>
    <row r="22" customFormat="false" ht="15" hidden="false" customHeight="false" outlineLevel="0" collapsed="false">
      <c r="A22" s="3" t="s">
        <v>512</v>
      </c>
    </row>
    <row r="23" customFormat="false" ht="15" hidden="false" customHeight="false" outlineLevel="0" collapsed="false">
      <c r="A23" s="9" t="s">
        <v>513</v>
      </c>
    </row>
    <row r="24" customFormat="false" ht="15" hidden="false" customHeight="false" outlineLevel="0" collapsed="false">
      <c r="A24" s="3" t="s">
        <v>514</v>
      </c>
    </row>
    <row r="25" customFormat="false" ht="15" hidden="false" customHeight="false" outlineLevel="0" collapsed="false">
      <c r="A25" s="9" t="s">
        <v>515</v>
      </c>
    </row>
    <row r="26" customFormat="false" ht="15" hidden="false" customHeight="false" outlineLevel="0" collapsed="false">
      <c r="A26" s="3" t="s">
        <v>516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18A8D"/>
    <pageSetUpPr fitToPage="true"/>
  </sheetPr>
  <dimension ref="A1:D4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78"/>
    <col collapsed="false" customWidth="true" hidden="false" outlineLevel="0" max="3" min="2" style="0" width="16"/>
    <col collapsed="false" customWidth="true" hidden="false" outlineLevel="0" max="4" min="4" style="0" width="60"/>
  </cols>
  <sheetData>
    <row r="1" customFormat="false" ht="17.35" hidden="false" customHeight="false" outlineLevel="0" collapsed="false">
      <c r="A1" s="1" t="s">
        <v>517</v>
      </c>
    </row>
    <row r="2" customFormat="false" ht="15" hidden="false" customHeight="false" outlineLevel="0" collapsed="false">
      <c r="A2" s="2" t="s">
        <v>518</v>
      </c>
    </row>
    <row r="3" customFormat="false" ht="15" hidden="false" customHeight="false" outlineLevel="0" collapsed="false">
      <c r="A3" s="3" t="s">
        <v>519</v>
      </c>
    </row>
    <row r="5" customFormat="false" ht="15" hidden="false" customHeight="false" outlineLevel="0" collapsed="false">
      <c r="A5" s="24" t="s">
        <v>520</v>
      </c>
      <c r="B5" s="4" t="s">
        <v>521</v>
      </c>
    </row>
    <row r="6" customFormat="false" ht="15" hidden="false" customHeight="false" outlineLevel="0" collapsed="false">
      <c r="A6" s="9" t="s">
        <v>522</v>
      </c>
      <c r="B6" s="33" t="n">
        <v>7827970</v>
      </c>
    </row>
    <row r="7" customFormat="false" ht="15" hidden="false" customHeight="false" outlineLevel="0" collapsed="false">
      <c r="A7" s="9" t="s">
        <v>523</v>
      </c>
      <c r="B7" s="33" t="n">
        <v>2560713</v>
      </c>
    </row>
    <row r="8" customFormat="false" ht="15" hidden="false" customHeight="false" outlineLevel="0" collapsed="false">
      <c r="A8" s="9" t="s">
        <v>524</v>
      </c>
      <c r="B8" s="33" t="n">
        <v>542179</v>
      </c>
    </row>
    <row r="9" customFormat="false" ht="15" hidden="false" customHeight="false" outlineLevel="0" collapsed="false">
      <c r="A9" s="9" t="s">
        <v>525</v>
      </c>
      <c r="B9" s="33" t="n">
        <v>1374451</v>
      </c>
    </row>
    <row r="10" customFormat="false" ht="15" hidden="false" customHeight="false" outlineLevel="0" collapsed="false">
      <c r="A10" s="9" t="s">
        <v>526</v>
      </c>
      <c r="B10" s="33" t="n">
        <v>158801</v>
      </c>
    </row>
    <row r="11" customFormat="false" ht="15" hidden="false" customHeight="false" outlineLevel="0" collapsed="false">
      <c r="A11" s="9" t="s">
        <v>527</v>
      </c>
      <c r="B11" s="33" t="n">
        <v>2710897</v>
      </c>
    </row>
    <row r="12" customFormat="false" ht="15" hidden="false" customHeight="false" outlineLevel="0" collapsed="false">
      <c r="A12" s="9" t="s">
        <v>528</v>
      </c>
      <c r="B12" s="33" t="n">
        <v>37468</v>
      </c>
    </row>
    <row r="13" customFormat="false" ht="15" hidden="false" customHeight="false" outlineLevel="0" collapsed="false">
      <c r="A13" s="9" t="s">
        <v>529</v>
      </c>
      <c r="B13" s="33" t="n">
        <v>4591</v>
      </c>
    </row>
    <row r="14" customFormat="false" ht="15" hidden="false" customHeight="false" outlineLevel="0" collapsed="false">
      <c r="A14" s="9" t="s">
        <v>530</v>
      </c>
      <c r="B14" s="33" t="n">
        <v>78410</v>
      </c>
    </row>
    <row r="15" customFormat="false" ht="15" hidden="false" customHeight="false" outlineLevel="0" collapsed="false">
      <c r="A15" s="14" t="s">
        <v>531</v>
      </c>
      <c r="B15" s="16" t="n">
        <f aca="false">SUM(B6:B14)</f>
        <v>15295480</v>
      </c>
    </row>
    <row r="16" customFormat="false" ht="15" hidden="false" customHeight="false" outlineLevel="0" collapsed="false">
      <c r="A16" s="9" t="s">
        <v>532</v>
      </c>
      <c r="B16" s="33" t="n">
        <v>7209920</v>
      </c>
    </row>
    <row r="17" customFormat="false" ht="15" hidden="false" customHeight="false" outlineLevel="0" collapsed="false">
      <c r="A17" s="3" t="s">
        <v>533</v>
      </c>
      <c r="B17" s="33" t="n">
        <v>1609415</v>
      </c>
    </row>
    <row r="18" customFormat="false" ht="15" hidden="false" customHeight="false" outlineLevel="0" collapsed="false">
      <c r="A18" s="3" t="s">
        <v>534</v>
      </c>
      <c r="B18" s="33" t="n">
        <v>5259922</v>
      </c>
    </row>
    <row r="20" customFormat="false" ht="27.75" hidden="false" customHeight="true" outlineLevel="0" collapsed="false">
      <c r="A20" s="24" t="s">
        <v>535</v>
      </c>
      <c r="B20" s="4" t="s">
        <v>536</v>
      </c>
      <c r="C20" s="5" t="s">
        <v>537</v>
      </c>
    </row>
    <row r="21" customFormat="false" ht="15" hidden="false" customHeight="false" outlineLevel="0" collapsed="false">
      <c r="A21" s="19" t="s">
        <v>538</v>
      </c>
      <c r="B21" s="20" t="n">
        <f aca="false">B15-B16</f>
        <v>8085560</v>
      </c>
      <c r="C21" s="21" t="n">
        <f aca="false">B21+SUM(C22:C24)</f>
        <v>5696139.64514174</v>
      </c>
      <c r="D21" s="3" t="s">
        <v>539</v>
      </c>
    </row>
    <row r="22" customFormat="false" ht="15" hidden="false" customHeight="false" outlineLevel="0" collapsed="false">
      <c r="A22" s="9" t="s">
        <v>540</v>
      </c>
      <c r="C22" s="37" t="n">
        <f aca="false">'Proyeccion ER'!Q286</f>
        <v>-1339244.4156916</v>
      </c>
      <c r="D22" s="3" t="s">
        <v>541</v>
      </c>
    </row>
    <row r="23" customFormat="false" ht="15" hidden="false" customHeight="false" outlineLevel="0" collapsed="false">
      <c r="A23" s="9" t="s">
        <v>542</v>
      </c>
      <c r="C23" s="37" t="n">
        <f aca="false">'Proyeccion ER'!Q281</f>
        <v>292187.360833333</v>
      </c>
      <c r="D23" s="3" t="s">
        <v>543</v>
      </c>
    </row>
    <row r="24" customFormat="false" ht="15" hidden="false" customHeight="false" outlineLevel="0" collapsed="false">
      <c r="A24" s="9" t="s">
        <v>544</v>
      </c>
      <c r="C24" s="37" t="n">
        <f aca="false">-Proyectos!I7</f>
        <v>-1342363.3</v>
      </c>
      <c r="D24" s="3" t="s">
        <v>545</v>
      </c>
    </row>
    <row r="26" customFormat="false" ht="15" hidden="false" customHeight="false" outlineLevel="0" collapsed="false">
      <c r="A26" s="9" t="s">
        <v>546</v>
      </c>
      <c r="B26" s="12" t="n">
        <f aca="false">SUMIF(Proyectos!$P$7:$P$11,"&gt;0")</f>
        <v>2327992.3</v>
      </c>
      <c r="C26" s="37" t="n">
        <f aca="false">SUMIF(Proyectos!$K$7:$K$11,"&gt;0")</f>
        <v>12247</v>
      </c>
      <c r="D26" s="3" t="s">
        <v>547</v>
      </c>
    </row>
    <row r="27" customFormat="false" ht="15" hidden="false" customHeight="false" outlineLevel="0" collapsed="false">
      <c r="A27" s="9" t="s">
        <v>548</v>
      </c>
      <c r="B27" s="12" t="n">
        <f aca="false">SUMIF(Proyectos!$P$7:$P$11,"&lt;0")</f>
        <v>-679738</v>
      </c>
      <c r="C27" s="37" t="n">
        <f aca="false">SUMIF(Proyectos!$K$7:$K$11,"&lt;0")</f>
        <v>-996732.50406879</v>
      </c>
      <c r="D27" s="3" t="s">
        <v>549</v>
      </c>
    </row>
    <row r="28" customFormat="false" ht="15" hidden="false" customHeight="false" outlineLevel="0" collapsed="false">
      <c r="A28" s="19" t="s">
        <v>88</v>
      </c>
      <c r="B28" s="20" t="n">
        <f aca="false">B26+B27</f>
        <v>1648254.3</v>
      </c>
      <c r="C28" s="21" t="n">
        <f aca="false">C26+C27</f>
        <v>-984485.50406879</v>
      </c>
      <c r="D28" s="3" t="s">
        <v>550</v>
      </c>
    </row>
    <row r="30" customFormat="false" ht="15" hidden="false" customHeight="false" outlineLevel="0" collapsed="false">
      <c r="A30" s="19" t="s">
        <v>551</v>
      </c>
      <c r="B30" s="20" t="n">
        <f aca="false">B21-B28</f>
        <v>6437305.7</v>
      </c>
      <c r="C30" s="21" t="n">
        <f aca="false">C21-C28</f>
        <v>6680625.14921053</v>
      </c>
      <c r="D30" s="3" t="s">
        <v>181</v>
      </c>
    </row>
    <row r="31" customFormat="false" ht="15" hidden="false" customHeight="false" outlineLevel="0" collapsed="false">
      <c r="A31" s="19" t="s">
        <v>552</v>
      </c>
      <c r="B31" s="20" t="n">
        <f aca="false">B21-B26</f>
        <v>5757567.7</v>
      </c>
      <c r="C31" s="21" t="n">
        <f aca="false">C21-C26</f>
        <v>5683892.64514174</v>
      </c>
      <c r="D31" s="3" t="s">
        <v>553</v>
      </c>
    </row>
    <row r="32" customFormat="false" ht="15" hidden="false" customHeight="false" outlineLevel="0" collapsed="false">
      <c r="A32" s="19" t="s">
        <v>554</v>
      </c>
      <c r="C32" s="21" t="n">
        <f aca="false">C31+Proyectos!$L$12</f>
        <v>6083225.14921053</v>
      </c>
      <c r="D32" s="3" t="s">
        <v>555</v>
      </c>
    </row>
    <row r="34" customFormat="false" ht="15" hidden="false" customHeight="false" outlineLevel="0" collapsed="false">
      <c r="A34" s="9" t="s">
        <v>556</v>
      </c>
      <c r="B34" s="12" t="n">
        <f aca="false">(SUMIFS('Proyeccion ER'!$M$32:$M$281,'Proyeccion ER'!$C$32:$C$281,"ORD")-'Proyeccion ER'!M281)/9</f>
        <v>3267028.22222222</v>
      </c>
      <c r="C34" s="37" t="n">
        <f aca="false">(SUMIFS('Proyeccion ER'!$R$32:$R$281,'Proyeccion ER'!$C$32:$C$281,"ORD")-'Proyeccion ER'!R281)/12</f>
        <v>3360099.56673246</v>
      </c>
      <c r="D34" s="3" t="s">
        <v>557</v>
      </c>
    </row>
    <row r="35" customFormat="false" ht="15" hidden="false" customHeight="false" outlineLevel="0" collapsed="false">
      <c r="A35" s="9" t="s">
        <v>558</v>
      </c>
      <c r="B35" s="31" t="n">
        <f aca="false">B30/B34</f>
        <v>1.97038570288853</v>
      </c>
      <c r="C35" s="38" t="n">
        <f aca="false">C30/C34</f>
        <v>1.98822237750149</v>
      </c>
      <c r="D35" s="3" t="s">
        <v>559</v>
      </c>
    </row>
    <row r="36" customFormat="false" ht="15" hidden="false" customHeight="false" outlineLevel="0" collapsed="false">
      <c r="A36" s="9" t="s">
        <v>175</v>
      </c>
      <c r="B36" s="31" t="n">
        <f aca="false">B31/B34</f>
        <v>1.76232566980512</v>
      </c>
      <c r="C36" s="38" t="n">
        <f aca="false">C31/C34</f>
        <v>1.69158458916414</v>
      </c>
      <c r="D36" s="3" t="s">
        <v>560</v>
      </c>
    </row>
    <row r="37" customFormat="false" ht="15" hidden="false" customHeight="false" outlineLevel="0" collapsed="false">
      <c r="A37" s="9" t="s">
        <v>561</v>
      </c>
      <c r="C37" s="38" t="n">
        <f aca="false">C32/C34</f>
        <v>1.81043002696679</v>
      </c>
      <c r="D37" s="3" t="s">
        <v>562</v>
      </c>
    </row>
    <row r="39" customFormat="false" ht="15" hidden="false" customHeight="false" outlineLevel="0" collapsed="false">
      <c r="A39" s="24" t="s">
        <v>563</v>
      </c>
      <c r="B39" s="4" t="s">
        <v>521</v>
      </c>
    </row>
    <row r="40" customFormat="false" ht="15" hidden="false" customHeight="false" outlineLevel="0" collapsed="false">
      <c r="A40" s="9" t="s">
        <v>564</v>
      </c>
      <c r="B40" s="12" t="n">
        <f aca="false">B16-B17+Supuestos!$C$26</f>
        <v>5790505</v>
      </c>
      <c r="D40" s="3" t="s">
        <v>565</v>
      </c>
    </row>
    <row r="41" customFormat="false" ht="15" hidden="false" customHeight="false" outlineLevel="0" collapsed="false">
      <c r="A41" s="19" t="s">
        <v>566</v>
      </c>
      <c r="B41" s="20" t="n">
        <f aca="false">C21+B40</f>
        <v>11486644.6451417</v>
      </c>
      <c r="D41" s="3" t="s">
        <v>567</v>
      </c>
    </row>
    <row r="43" customFormat="false" ht="15" hidden="false" customHeight="false" outlineLevel="0" collapsed="false">
      <c r="A43" s="9" t="s">
        <v>568</v>
      </c>
    </row>
    <row r="44" customFormat="false" ht="15" hidden="false" customHeight="false" outlineLevel="0" collapsed="false">
      <c r="A44" s="3" t="s">
        <v>569</v>
      </c>
    </row>
    <row r="45" customFormat="false" ht="15" hidden="false" customHeight="false" outlineLevel="0" collapsed="false">
      <c r="A45" s="9" t="s">
        <v>570</v>
      </c>
    </row>
    <row r="46" customFormat="false" ht="15" hidden="false" customHeight="false" outlineLevel="0" collapsed="false">
      <c r="A46" s="3" t="s">
        <v>571</v>
      </c>
    </row>
    <row r="47" customFormat="false" ht="15" hidden="false" customHeight="false" outlineLevel="0" collapsed="false">
      <c r="A47" s="9" t="s">
        <v>572</v>
      </c>
    </row>
    <row r="48" customFormat="false" ht="15" hidden="false" customHeight="false" outlineLevel="0" collapsed="false">
      <c r="A48" s="3" t="s">
        <v>573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2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2"/>
    <col collapsed="false" customWidth="true" hidden="false" outlineLevel="0" max="2" min="2" style="0" width="44"/>
    <col collapsed="false" customWidth="true" hidden="false" outlineLevel="0" max="3" min="3" style="0" width="16"/>
    <col collapsed="false" customWidth="true" hidden="false" outlineLevel="0" max="4" min="4" style="0" width="48"/>
    <col collapsed="false" customWidth="true" hidden="false" outlineLevel="0" max="5" min="5" style="0" width="42"/>
  </cols>
  <sheetData>
    <row r="1" customFormat="false" ht="17.35" hidden="false" customHeight="false" outlineLevel="0" collapsed="false">
      <c r="A1" s="1" t="s">
        <v>574</v>
      </c>
    </row>
    <row r="2" customFormat="false" ht="15" hidden="false" customHeight="false" outlineLevel="0" collapsed="false">
      <c r="A2" s="2" t="s">
        <v>575</v>
      </c>
    </row>
    <row r="3" customFormat="false" ht="15" hidden="false" customHeight="false" outlineLevel="0" collapsed="false">
      <c r="A3" s="3" t="s">
        <v>576</v>
      </c>
    </row>
    <row r="5" customFormat="false" ht="15" hidden="false" customHeight="false" outlineLevel="0" collapsed="false">
      <c r="A5" s="4" t="s">
        <v>3</v>
      </c>
      <c r="B5" s="4" t="s">
        <v>4</v>
      </c>
      <c r="C5" s="4" t="s">
        <v>577</v>
      </c>
      <c r="D5" s="4" t="s">
        <v>578</v>
      </c>
      <c r="E5" s="4" t="s">
        <v>579</v>
      </c>
    </row>
    <row r="6" customFormat="false" ht="15" hidden="false" customHeight="false" outlineLevel="0" collapsed="false">
      <c r="A6" s="49" t="s">
        <v>580</v>
      </c>
      <c r="B6" s="51" t="s">
        <v>581</v>
      </c>
      <c r="C6" s="50" t="n">
        <v>1025991</v>
      </c>
      <c r="D6" s="49" t="s">
        <v>582</v>
      </c>
      <c r="E6" s="51" t="s">
        <v>583</v>
      </c>
    </row>
    <row r="7" customFormat="false" ht="15" hidden="false" customHeight="false" outlineLevel="0" collapsed="false">
      <c r="A7" s="49" t="s">
        <v>584</v>
      </c>
      <c r="B7" s="51" t="s">
        <v>585</v>
      </c>
      <c r="C7" s="33" t="n">
        <v>57200</v>
      </c>
      <c r="D7" s="49" t="s">
        <v>586</v>
      </c>
      <c r="E7" s="51" t="s">
        <v>587</v>
      </c>
    </row>
    <row r="8" customFormat="false" ht="15" hidden="false" customHeight="false" outlineLevel="0" collapsed="false">
      <c r="A8" s="49" t="s">
        <v>588</v>
      </c>
      <c r="B8" s="51" t="s">
        <v>589</v>
      </c>
      <c r="C8" s="33" t="n">
        <f aca="false">8543.33+4880.42</f>
        <v>13423.75</v>
      </c>
      <c r="D8" s="49" t="s">
        <v>590</v>
      </c>
      <c r="E8" s="51" t="s">
        <v>591</v>
      </c>
    </row>
    <row r="9" customFormat="false" ht="22.35" hidden="false" customHeight="false" outlineLevel="0" collapsed="false">
      <c r="A9" s="49" t="s">
        <v>592</v>
      </c>
      <c r="B9" s="51" t="s">
        <v>593</v>
      </c>
      <c r="C9" s="52" t="n">
        <f aca="false">(SUM('Proyeccion ER'!J13:L13)+SUM('Proyeccion ER'!J14:L14)+SUM('Proyeccion ER'!J12:L12))/(SUM('Proyeccion ER'!G13:I13)+SUM('Proyeccion ER'!G14:I14)+SUM('Proyeccion ER'!G12:I12))</f>
        <v>0.445253334855615</v>
      </c>
      <c r="D9" s="49" t="s">
        <v>594</v>
      </c>
      <c r="E9" s="51" t="s">
        <v>595</v>
      </c>
    </row>
    <row r="10" customFormat="false" ht="15" hidden="false" customHeight="false" outlineLevel="0" collapsed="false">
      <c r="A10" s="49" t="s">
        <v>596</v>
      </c>
      <c r="B10" s="51" t="s">
        <v>597</v>
      </c>
      <c r="C10" s="32" t="n">
        <v>0.03</v>
      </c>
      <c r="D10" s="49" t="s">
        <v>598</v>
      </c>
      <c r="E10" s="51" t="s">
        <v>599</v>
      </c>
    </row>
    <row r="11" customFormat="false" ht="15" hidden="false" customHeight="false" outlineLevel="0" collapsed="false">
      <c r="A11" s="49" t="s">
        <v>600</v>
      </c>
      <c r="B11" s="51" t="s">
        <v>601</v>
      </c>
      <c r="C11" s="53" t="n">
        <v>30.4</v>
      </c>
      <c r="D11" s="49" t="s">
        <v>602</v>
      </c>
      <c r="E11" s="51" t="s">
        <v>603</v>
      </c>
    </row>
    <row r="12" customFormat="false" ht="15" hidden="false" customHeight="false" outlineLevel="0" collapsed="false">
      <c r="A12" s="49" t="s">
        <v>604</v>
      </c>
      <c r="B12" s="51" t="s">
        <v>605</v>
      </c>
      <c r="C12" s="34" t="n">
        <v>17</v>
      </c>
      <c r="D12" s="49" t="s">
        <v>606</v>
      </c>
      <c r="E12" s="51" t="s">
        <v>607</v>
      </c>
    </row>
    <row r="13" customFormat="false" ht="15" hidden="false" customHeight="false" outlineLevel="0" collapsed="false">
      <c r="A13" s="49" t="s">
        <v>608</v>
      </c>
      <c r="B13" s="51" t="s">
        <v>609</v>
      </c>
      <c r="C13" s="34" t="n">
        <v>30</v>
      </c>
      <c r="D13" s="49" t="s">
        <v>606</v>
      </c>
      <c r="E13" s="51" t="s">
        <v>607</v>
      </c>
    </row>
    <row r="14" customFormat="false" ht="15" hidden="false" customHeight="false" outlineLevel="0" collapsed="false">
      <c r="A14" s="49" t="s">
        <v>610</v>
      </c>
      <c r="B14" s="51" t="s">
        <v>611</v>
      </c>
      <c r="C14" s="33" t="n">
        <v>120000</v>
      </c>
      <c r="D14" s="49" t="s">
        <v>612</v>
      </c>
      <c r="E14" s="51" t="s">
        <v>613</v>
      </c>
    </row>
    <row r="15" customFormat="false" ht="15" hidden="false" customHeight="false" outlineLevel="0" collapsed="false">
      <c r="A15" s="49" t="s">
        <v>614</v>
      </c>
      <c r="B15" s="51" t="s">
        <v>615</v>
      </c>
      <c r="C15" s="32" t="n">
        <v>0.16</v>
      </c>
      <c r="D15" s="49"/>
      <c r="E15" s="51"/>
    </row>
    <row r="16" customFormat="false" ht="22.35" hidden="false" customHeight="false" outlineLevel="0" collapsed="false">
      <c r="A16" s="49" t="s">
        <v>616</v>
      </c>
      <c r="B16" s="51" t="s">
        <v>617</v>
      </c>
      <c r="C16" s="32" t="n">
        <v>0.5</v>
      </c>
      <c r="D16" s="49" t="s">
        <v>618</v>
      </c>
      <c r="E16" s="51" t="s">
        <v>619</v>
      </c>
    </row>
    <row r="17" customFormat="false" ht="15" hidden="false" customHeight="false" outlineLevel="0" collapsed="false">
      <c r="A17" s="49" t="s">
        <v>620</v>
      </c>
      <c r="B17" s="51" t="s">
        <v>621</v>
      </c>
      <c r="C17" s="12" t="n">
        <f aca="false">$C$14*(1+$C$15)*$C$16</f>
        <v>69600</v>
      </c>
      <c r="D17" s="49" t="s">
        <v>622</v>
      </c>
      <c r="E17" s="51" t="s">
        <v>623</v>
      </c>
    </row>
    <row r="18" customFormat="false" ht="15" hidden="false" customHeight="false" outlineLevel="0" collapsed="false">
      <c r="A18" s="49" t="s">
        <v>624</v>
      </c>
      <c r="B18" s="51" t="s">
        <v>625</v>
      </c>
      <c r="C18" s="33" t="n">
        <v>36324</v>
      </c>
      <c r="D18" s="49" t="s">
        <v>626</v>
      </c>
      <c r="E18" s="51" t="s">
        <v>627</v>
      </c>
    </row>
    <row r="19" customFormat="false" ht="15" hidden="false" customHeight="false" outlineLevel="0" collapsed="false">
      <c r="A19" s="49" t="s">
        <v>628</v>
      </c>
      <c r="B19" s="51" t="s">
        <v>629</v>
      </c>
      <c r="C19" s="33" t="n">
        <v>33075</v>
      </c>
      <c r="D19" s="49" t="s">
        <v>630</v>
      </c>
      <c r="E19" s="51" t="s">
        <v>631</v>
      </c>
    </row>
    <row r="20" customFormat="false" ht="15" hidden="false" customHeight="false" outlineLevel="0" collapsed="false">
      <c r="A20" s="49" t="s">
        <v>632</v>
      </c>
      <c r="B20" s="51" t="s">
        <v>633</v>
      </c>
      <c r="C20" s="33" t="n">
        <v>35566</v>
      </c>
      <c r="D20" s="49" t="s">
        <v>634</v>
      </c>
      <c r="E20" s="51" t="s">
        <v>635</v>
      </c>
    </row>
    <row r="21" customFormat="false" ht="15" hidden="false" customHeight="false" outlineLevel="0" collapsed="false">
      <c r="A21" s="49" t="s">
        <v>636</v>
      </c>
      <c r="B21" s="51" t="s">
        <v>637</v>
      </c>
      <c r="C21" s="33" t="n">
        <v>28671</v>
      </c>
      <c r="D21" s="49" t="s">
        <v>638</v>
      </c>
      <c r="E21" s="51" t="s">
        <v>639</v>
      </c>
    </row>
    <row r="22" customFormat="false" ht="15" hidden="false" customHeight="false" outlineLevel="0" collapsed="false">
      <c r="A22" s="49" t="s">
        <v>640</v>
      </c>
      <c r="B22" s="51" t="s">
        <v>641</v>
      </c>
      <c r="C22" s="32" t="n">
        <v>0.1</v>
      </c>
      <c r="D22" s="49" t="s">
        <v>642</v>
      </c>
      <c r="E22" s="51" t="s">
        <v>643</v>
      </c>
    </row>
    <row r="23" customFormat="false" ht="19.4" hidden="false" customHeight="false" outlineLevel="0" collapsed="false">
      <c r="A23" s="49" t="s">
        <v>644</v>
      </c>
      <c r="B23" s="51" t="s">
        <v>645</v>
      </c>
      <c r="C23" s="34" t="n">
        <v>1</v>
      </c>
      <c r="D23" s="49" t="s">
        <v>646</v>
      </c>
      <c r="E23" s="51" t="s">
        <v>647</v>
      </c>
    </row>
    <row r="24" customFormat="false" ht="32.8" hidden="false" customHeight="false" outlineLevel="0" collapsed="false">
      <c r="A24" s="49" t="s">
        <v>648</v>
      </c>
      <c r="B24" s="51" t="s">
        <v>649</v>
      </c>
      <c r="C24" s="50" t="n">
        <v>1300000</v>
      </c>
      <c r="D24" s="49" t="s">
        <v>650</v>
      </c>
      <c r="E24" s="51" t="s">
        <v>651</v>
      </c>
    </row>
    <row r="25" customFormat="false" ht="32.8" hidden="false" customHeight="false" outlineLevel="0" collapsed="false">
      <c r="A25" s="49" t="s">
        <v>652</v>
      </c>
      <c r="B25" s="51" t="s">
        <v>653</v>
      </c>
      <c r="C25" s="50" t="n">
        <v>600000</v>
      </c>
      <c r="D25" s="49" t="s">
        <v>654</v>
      </c>
      <c r="E25" s="51" t="s">
        <v>655</v>
      </c>
    </row>
    <row r="26" customFormat="false" ht="15" hidden="false" customHeight="false" outlineLevel="0" collapsed="false">
      <c r="A26" s="49" t="s">
        <v>656</v>
      </c>
      <c r="B26" s="51" t="s">
        <v>657</v>
      </c>
      <c r="C26" s="33" t="n">
        <v>190000</v>
      </c>
      <c r="D26" s="49" t="s">
        <v>658</v>
      </c>
      <c r="E26" s="51" t="s">
        <v>659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8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0"/>
    <col collapsed="false" customWidth="true" hidden="false" outlineLevel="0" max="2" min="2" style="0" width="38"/>
    <col collapsed="false" customWidth="true" hidden="false" outlineLevel="0" max="3" min="3" style="0" width="24"/>
    <col collapsed="false" customWidth="true" hidden="false" outlineLevel="0" max="4" min="4" style="0" width="18"/>
    <col collapsed="false" customWidth="true" hidden="false" outlineLevel="0" max="5" min="5" style="0" width="90"/>
  </cols>
  <sheetData>
    <row r="1" customFormat="false" ht="17.35" hidden="false" customHeight="false" outlineLevel="0" collapsed="false">
      <c r="A1" s="1" t="s">
        <v>660</v>
      </c>
    </row>
    <row r="2" customFormat="false" ht="15" hidden="false" customHeight="false" outlineLevel="0" collapsed="false">
      <c r="A2" s="2" t="s">
        <v>661</v>
      </c>
    </row>
    <row r="3" customFormat="false" ht="15" hidden="false" customHeight="false" outlineLevel="0" collapsed="false">
      <c r="A3" s="3" t="s">
        <v>662</v>
      </c>
    </row>
    <row r="5" customFormat="false" ht="22.35" hidden="false" customHeight="false" outlineLevel="0" collapsed="false">
      <c r="A5" s="4" t="s">
        <v>663</v>
      </c>
      <c r="B5" s="4" t="s">
        <v>664</v>
      </c>
      <c r="C5" s="4" t="s">
        <v>665</v>
      </c>
      <c r="D5" s="4" t="s">
        <v>666</v>
      </c>
      <c r="E5" s="4" t="s">
        <v>667</v>
      </c>
    </row>
    <row r="6" customFormat="false" ht="15" hidden="false" customHeight="false" outlineLevel="0" collapsed="false">
      <c r="A6" s="9" t="s">
        <v>219</v>
      </c>
      <c r="B6" s="9" t="s">
        <v>219</v>
      </c>
      <c r="C6" s="9" t="s">
        <v>220</v>
      </c>
      <c r="D6" s="33" t="n">
        <v>32913215.1</v>
      </c>
      <c r="E6" s="3" t="s">
        <v>668</v>
      </c>
    </row>
    <row r="7" customFormat="false" ht="15" hidden="false" customHeight="false" outlineLevel="0" collapsed="false">
      <c r="A7" s="9" t="s">
        <v>224</v>
      </c>
      <c r="B7" s="9" t="s">
        <v>224</v>
      </c>
      <c r="C7" s="9" t="s">
        <v>225</v>
      </c>
      <c r="D7" s="33" t="n">
        <v>3000000</v>
      </c>
      <c r="E7" s="3" t="s">
        <v>669</v>
      </c>
    </row>
    <row r="8" customFormat="false" ht="15" hidden="false" customHeight="false" outlineLevel="0" collapsed="false">
      <c r="A8" s="9" t="s">
        <v>228</v>
      </c>
      <c r="B8" s="9" t="s">
        <v>228</v>
      </c>
      <c r="C8" s="9" t="s">
        <v>17</v>
      </c>
      <c r="D8" s="33" t="n">
        <v>1000000</v>
      </c>
      <c r="E8" s="3" t="s">
        <v>670</v>
      </c>
    </row>
    <row r="9" customFormat="false" ht="15" hidden="false" customHeight="false" outlineLevel="0" collapsed="false">
      <c r="A9" s="9" t="s">
        <v>243</v>
      </c>
      <c r="B9" s="9" t="s">
        <v>243</v>
      </c>
      <c r="C9" s="9" t="s">
        <v>220</v>
      </c>
      <c r="D9" s="33" t="n">
        <v>0</v>
      </c>
      <c r="E9" s="3"/>
    </row>
    <row r="10" customFormat="false" ht="15" hidden="false" customHeight="false" outlineLevel="0" collapsed="false">
      <c r="A10" s="9" t="s">
        <v>246</v>
      </c>
      <c r="B10" s="9" t="s">
        <v>246</v>
      </c>
      <c r="C10" s="9" t="s">
        <v>247</v>
      </c>
      <c r="D10" s="33" t="n">
        <v>750000</v>
      </c>
      <c r="E10" s="3" t="s">
        <v>671</v>
      </c>
    </row>
    <row r="11" customFormat="false" ht="15" hidden="false" customHeight="false" outlineLevel="0" collapsed="false">
      <c r="A11" s="9" t="s">
        <v>250</v>
      </c>
      <c r="B11" s="9" t="s">
        <v>250</v>
      </c>
      <c r="C11" s="9" t="s">
        <v>247</v>
      </c>
      <c r="D11" s="33" t="n">
        <v>750000</v>
      </c>
      <c r="E11" s="3" t="s">
        <v>672</v>
      </c>
    </row>
    <row r="12" customFormat="false" ht="15" hidden="false" customHeight="false" outlineLevel="0" collapsed="false">
      <c r="A12" s="9" t="s">
        <v>251</v>
      </c>
      <c r="B12" s="9" t="s">
        <v>251</v>
      </c>
      <c r="C12" s="9" t="s">
        <v>247</v>
      </c>
      <c r="D12" s="33" t="n">
        <v>250000</v>
      </c>
      <c r="E12" s="3" t="s">
        <v>673</v>
      </c>
    </row>
    <row r="13" customFormat="false" ht="15" hidden="false" customHeight="false" outlineLevel="0" collapsed="false">
      <c r="A13" s="9" t="s">
        <v>260</v>
      </c>
      <c r="B13" s="9" t="s">
        <v>260</v>
      </c>
      <c r="C13" s="9" t="s">
        <v>261</v>
      </c>
      <c r="D13" s="33" t="n">
        <v>686400</v>
      </c>
      <c r="E13" s="3" t="s">
        <v>674</v>
      </c>
    </row>
    <row r="14" customFormat="false" ht="15" hidden="false" customHeight="false" outlineLevel="0" collapsed="false">
      <c r="A14" s="9" t="s">
        <v>264</v>
      </c>
      <c r="B14" s="9" t="s">
        <v>264</v>
      </c>
      <c r="C14" s="9" t="s">
        <v>261</v>
      </c>
      <c r="D14" s="33" t="n">
        <v>161076</v>
      </c>
      <c r="E14" s="3" t="s">
        <v>675</v>
      </c>
    </row>
    <row r="15" customFormat="false" ht="15" hidden="false" customHeight="false" outlineLevel="0" collapsed="false">
      <c r="A15" s="9" t="s">
        <v>267</v>
      </c>
      <c r="B15" s="9" t="s">
        <v>267</v>
      </c>
      <c r="C15" s="9" t="s">
        <v>268</v>
      </c>
      <c r="D15" s="33" t="n">
        <v>0</v>
      </c>
      <c r="E15" s="3"/>
    </row>
    <row r="16" customFormat="false" ht="15" hidden="false" customHeight="false" outlineLevel="0" collapsed="false">
      <c r="A16" s="9" t="s">
        <v>269</v>
      </c>
      <c r="B16" s="9" t="s">
        <v>269</v>
      </c>
      <c r="C16" s="9" t="s">
        <v>268</v>
      </c>
      <c r="D16" s="33" t="n">
        <v>0</v>
      </c>
      <c r="E16" s="3"/>
    </row>
    <row r="17" customFormat="false" ht="15" hidden="false" customHeight="false" outlineLevel="0" collapsed="false">
      <c r="A17" s="9" t="s">
        <v>270</v>
      </c>
      <c r="B17" s="9" t="s">
        <v>270</v>
      </c>
      <c r="C17" s="9" t="s">
        <v>268</v>
      </c>
      <c r="D17" s="33" t="n">
        <v>0</v>
      </c>
      <c r="E17" s="3"/>
    </row>
    <row r="18" customFormat="false" ht="15" hidden="false" customHeight="false" outlineLevel="0" collapsed="false">
      <c r="A18" s="9" t="s">
        <v>273</v>
      </c>
      <c r="B18" s="9" t="s">
        <v>273</v>
      </c>
      <c r="C18" s="9" t="s">
        <v>268</v>
      </c>
      <c r="D18" s="33" t="n">
        <v>0</v>
      </c>
      <c r="E18" s="3"/>
    </row>
    <row r="19" customFormat="false" ht="15" hidden="false" customHeight="false" outlineLevel="0" collapsed="false">
      <c r="A19" s="14" t="s">
        <v>676</v>
      </c>
      <c r="D19" s="16" t="n">
        <f aca="false">SUM(D6:D18)</f>
        <v>39510691.1</v>
      </c>
    </row>
    <row r="21" customFormat="false" ht="15" hidden="false" customHeight="false" outlineLevel="0" collapsed="false">
      <c r="A21" s="9" t="s">
        <v>677</v>
      </c>
      <c r="B21" s="9" t="s">
        <v>283</v>
      </c>
      <c r="C21" s="9" t="s">
        <v>284</v>
      </c>
      <c r="D21" s="33" t="n">
        <v>10800000</v>
      </c>
      <c r="E21" s="3" t="s">
        <v>678</v>
      </c>
    </row>
    <row r="22" customFormat="false" ht="15" hidden="false" customHeight="false" outlineLevel="0" collapsed="false">
      <c r="A22" s="9" t="s">
        <v>318</v>
      </c>
      <c r="B22" s="9" t="s">
        <v>318</v>
      </c>
      <c r="C22" s="9" t="s">
        <v>291</v>
      </c>
      <c r="D22" s="33" t="n">
        <v>2092370.53</v>
      </c>
      <c r="E22" s="3"/>
    </row>
    <row r="23" customFormat="false" ht="15" hidden="false" customHeight="false" outlineLevel="0" collapsed="false">
      <c r="A23" s="9" t="s">
        <v>322</v>
      </c>
      <c r="B23" s="9" t="s">
        <v>322</v>
      </c>
      <c r="C23" s="9" t="s">
        <v>291</v>
      </c>
      <c r="D23" s="33" t="n">
        <v>1396680.68</v>
      </c>
      <c r="E23" s="3"/>
    </row>
    <row r="24" customFormat="false" ht="15" hidden="false" customHeight="false" outlineLevel="0" collapsed="false">
      <c r="A24" s="9" t="s">
        <v>329</v>
      </c>
      <c r="B24" s="9" t="s">
        <v>329</v>
      </c>
      <c r="C24" s="9" t="s">
        <v>291</v>
      </c>
      <c r="D24" s="33" t="n">
        <v>2737227.08</v>
      </c>
      <c r="E24" s="3"/>
    </row>
    <row r="25" customFormat="false" ht="15" hidden="false" customHeight="false" outlineLevel="0" collapsed="false">
      <c r="A25" s="9" t="s">
        <v>334</v>
      </c>
      <c r="B25" s="9" t="s">
        <v>334</v>
      </c>
      <c r="C25" s="9" t="s">
        <v>291</v>
      </c>
      <c r="D25" s="33" t="n">
        <v>4813074.62</v>
      </c>
      <c r="E25" s="3"/>
    </row>
    <row r="26" customFormat="false" ht="15" hidden="false" customHeight="false" outlineLevel="0" collapsed="false">
      <c r="A26" s="9" t="s">
        <v>341</v>
      </c>
      <c r="B26" s="9" t="s">
        <v>341</v>
      </c>
      <c r="C26" s="9" t="s">
        <v>291</v>
      </c>
      <c r="D26" s="33" t="n">
        <v>2255324.76</v>
      </c>
      <c r="E26" s="3"/>
    </row>
    <row r="27" customFormat="false" ht="15" hidden="false" customHeight="false" outlineLevel="0" collapsed="false">
      <c r="A27" s="9" t="s">
        <v>348</v>
      </c>
      <c r="B27" s="9" t="s">
        <v>348</v>
      </c>
      <c r="C27" s="9" t="s">
        <v>291</v>
      </c>
      <c r="D27" s="33" t="n">
        <v>1608399.9</v>
      </c>
      <c r="E27" s="3"/>
    </row>
    <row r="28" customFormat="false" ht="15" hidden="false" customHeight="false" outlineLevel="0" collapsed="false">
      <c r="A28" s="9" t="s">
        <v>353</v>
      </c>
      <c r="B28" s="9" t="s">
        <v>353</v>
      </c>
      <c r="C28" s="9" t="s">
        <v>291</v>
      </c>
      <c r="D28" s="33" t="n">
        <v>886160.7</v>
      </c>
      <c r="E28" s="3"/>
    </row>
    <row r="29" customFormat="false" ht="15" hidden="false" customHeight="false" outlineLevel="0" collapsed="false">
      <c r="A29" s="9" t="s">
        <v>356</v>
      </c>
      <c r="B29" s="9" t="s">
        <v>356</v>
      </c>
      <c r="C29" s="9" t="s">
        <v>291</v>
      </c>
      <c r="D29" s="33" t="n">
        <v>930200.88</v>
      </c>
      <c r="E29" s="3"/>
    </row>
    <row r="30" customFormat="false" ht="15" hidden="false" customHeight="false" outlineLevel="0" collapsed="false">
      <c r="A30" s="9" t="s">
        <v>359</v>
      </c>
      <c r="B30" s="9" t="s">
        <v>359</v>
      </c>
      <c r="C30" s="9" t="s">
        <v>291</v>
      </c>
      <c r="D30" s="33" t="n">
        <v>934908.14</v>
      </c>
      <c r="E30" s="3"/>
    </row>
    <row r="31" customFormat="false" ht="15" hidden="false" customHeight="false" outlineLevel="0" collapsed="false">
      <c r="A31" s="9" t="s">
        <v>369</v>
      </c>
      <c r="B31" s="9" t="s">
        <v>369</v>
      </c>
      <c r="C31" s="9" t="s">
        <v>291</v>
      </c>
      <c r="D31" s="33" t="n">
        <v>1185427.02</v>
      </c>
      <c r="E31" s="3"/>
    </row>
    <row r="32" customFormat="false" ht="15" hidden="false" customHeight="false" outlineLevel="0" collapsed="false">
      <c r="A32" s="9" t="s">
        <v>371</v>
      </c>
      <c r="B32" s="9" t="s">
        <v>371</v>
      </c>
      <c r="C32" s="9" t="s">
        <v>372</v>
      </c>
      <c r="D32" s="33" t="n">
        <v>670000</v>
      </c>
      <c r="E32" s="3" t="s">
        <v>679</v>
      </c>
    </row>
    <row r="33" customFormat="false" ht="15" hidden="false" customHeight="false" outlineLevel="0" collapsed="false">
      <c r="A33" s="9" t="s">
        <v>373</v>
      </c>
      <c r="B33" s="9" t="s">
        <v>373</v>
      </c>
      <c r="C33" s="9" t="s">
        <v>372</v>
      </c>
      <c r="D33" s="33" t="n">
        <v>350000</v>
      </c>
      <c r="E33" s="3" t="s">
        <v>680</v>
      </c>
    </row>
    <row r="34" customFormat="false" ht="15" hidden="false" customHeight="false" outlineLevel="0" collapsed="false">
      <c r="A34" s="9" t="s">
        <v>376</v>
      </c>
      <c r="B34" s="9" t="s">
        <v>376</v>
      </c>
      <c r="C34" s="9" t="s">
        <v>372</v>
      </c>
      <c r="D34" s="33" t="n">
        <v>540000</v>
      </c>
      <c r="E34" s="3" t="s">
        <v>681</v>
      </c>
    </row>
    <row r="35" customFormat="false" ht="15" hidden="false" customHeight="false" outlineLevel="0" collapsed="false">
      <c r="A35" s="9" t="s">
        <v>380</v>
      </c>
      <c r="B35" s="9" t="s">
        <v>380</v>
      </c>
      <c r="C35" s="9" t="s">
        <v>372</v>
      </c>
      <c r="D35" s="33" t="n">
        <v>530000</v>
      </c>
      <c r="E35" s="3" t="s">
        <v>682</v>
      </c>
    </row>
    <row r="36" customFormat="false" ht="15" hidden="false" customHeight="false" outlineLevel="0" collapsed="false">
      <c r="A36" s="9" t="s">
        <v>381</v>
      </c>
      <c r="B36" s="9" t="s">
        <v>381</v>
      </c>
      <c r="C36" s="9" t="s">
        <v>372</v>
      </c>
      <c r="D36" s="33" t="n">
        <v>600000</v>
      </c>
      <c r="E36" s="3" t="s">
        <v>683</v>
      </c>
    </row>
    <row r="37" customFormat="false" ht="15" hidden="false" customHeight="false" outlineLevel="0" collapsed="false">
      <c r="A37" s="9" t="s">
        <v>382</v>
      </c>
      <c r="B37" s="9" t="s">
        <v>382</v>
      </c>
      <c r="C37" s="9" t="s">
        <v>372</v>
      </c>
      <c r="D37" s="33" t="n">
        <v>0</v>
      </c>
      <c r="E37" s="3"/>
    </row>
    <row r="38" customFormat="false" ht="15" hidden="false" customHeight="false" outlineLevel="0" collapsed="false">
      <c r="A38" s="9" t="s">
        <v>383</v>
      </c>
      <c r="B38" s="9" t="s">
        <v>383</v>
      </c>
      <c r="C38" s="9" t="s">
        <v>372</v>
      </c>
      <c r="D38" s="33" t="n">
        <v>274400</v>
      </c>
      <c r="E38" s="3" t="s">
        <v>684</v>
      </c>
    </row>
    <row r="39" customFormat="false" ht="15" hidden="false" customHeight="false" outlineLevel="0" collapsed="false">
      <c r="A39" s="9" t="s">
        <v>384</v>
      </c>
      <c r="B39" s="9" t="s">
        <v>384</v>
      </c>
      <c r="C39" s="9" t="s">
        <v>372</v>
      </c>
      <c r="D39" s="33" t="n">
        <v>250000</v>
      </c>
      <c r="E39" s="3" t="s">
        <v>685</v>
      </c>
    </row>
    <row r="40" customFormat="false" ht="15" hidden="false" customHeight="false" outlineLevel="0" collapsed="false">
      <c r="A40" s="9" t="s">
        <v>385</v>
      </c>
      <c r="B40" s="9" t="s">
        <v>385</v>
      </c>
      <c r="C40" s="9" t="s">
        <v>372</v>
      </c>
      <c r="D40" s="33" t="n">
        <v>120000</v>
      </c>
      <c r="E40" s="3" t="s">
        <v>686</v>
      </c>
    </row>
    <row r="41" customFormat="false" ht="15" hidden="false" customHeight="false" outlineLevel="0" collapsed="false">
      <c r="A41" s="9" t="s">
        <v>386</v>
      </c>
      <c r="B41" s="9" t="s">
        <v>386</v>
      </c>
      <c r="C41" s="9" t="s">
        <v>372</v>
      </c>
      <c r="D41" s="33" t="n">
        <v>200000</v>
      </c>
      <c r="E41" s="3" t="s">
        <v>687</v>
      </c>
    </row>
    <row r="42" customFormat="false" ht="15" hidden="false" customHeight="false" outlineLevel="0" collapsed="false">
      <c r="A42" s="9" t="s">
        <v>387</v>
      </c>
      <c r="B42" s="9" t="s">
        <v>387</v>
      </c>
      <c r="C42" s="9" t="s">
        <v>372</v>
      </c>
      <c r="D42" s="33" t="n">
        <v>100000</v>
      </c>
      <c r="E42" s="3" t="s">
        <v>688</v>
      </c>
    </row>
    <row r="43" customFormat="false" ht="15" hidden="false" customHeight="false" outlineLevel="0" collapsed="false">
      <c r="A43" s="9" t="s">
        <v>689</v>
      </c>
      <c r="B43" s="9" t="s">
        <v>388</v>
      </c>
      <c r="C43" s="9" t="s">
        <v>372</v>
      </c>
      <c r="D43" s="33" t="n">
        <v>750000</v>
      </c>
      <c r="E43" s="3" t="s">
        <v>690</v>
      </c>
    </row>
    <row r="44" customFormat="false" ht="15" hidden="false" customHeight="false" outlineLevel="0" collapsed="false">
      <c r="A44" s="9" t="s">
        <v>395</v>
      </c>
      <c r="B44" s="9" t="s">
        <v>395</v>
      </c>
      <c r="C44" s="9" t="s">
        <v>372</v>
      </c>
      <c r="D44" s="33" t="n">
        <v>200000</v>
      </c>
      <c r="E44" s="3" t="s">
        <v>691</v>
      </c>
    </row>
    <row r="45" customFormat="false" ht="15" hidden="false" customHeight="false" outlineLevel="0" collapsed="false">
      <c r="A45" s="9" t="s">
        <v>396</v>
      </c>
      <c r="B45" s="9" t="s">
        <v>396</v>
      </c>
      <c r="C45" s="9" t="s">
        <v>372</v>
      </c>
      <c r="D45" s="33" t="n">
        <v>50000</v>
      </c>
      <c r="E45" s="3" t="s">
        <v>692</v>
      </c>
    </row>
    <row r="46" customFormat="false" ht="15" hidden="false" customHeight="false" outlineLevel="0" collapsed="false">
      <c r="A46" s="9" t="s">
        <v>397</v>
      </c>
      <c r="B46" s="9" t="s">
        <v>397</v>
      </c>
      <c r="C46" s="9" t="s">
        <v>372</v>
      </c>
      <c r="D46" s="33" t="n">
        <v>70000</v>
      </c>
      <c r="E46" s="3" t="s">
        <v>693</v>
      </c>
    </row>
    <row r="47" customFormat="false" ht="15" hidden="false" customHeight="false" outlineLevel="0" collapsed="false">
      <c r="A47" s="9" t="s">
        <v>398</v>
      </c>
      <c r="B47" s="9" t="s">
        <v>398</v>
      </c>
      <c r="C47" s="9" t="s">
        <v>372</v>
      </c>
      <c r="D47" s="33" t="n">
        <v>100000</v>
      </c>
      <c r="E47" s="3" t="s">
        <v>694</v>
      </c>
    </row>
    <row r="48" customFormat="false" ht="15" hidden="false" customHeight="false" outlineLevel="0" collapsed="false">
      <c r="A48" s="9" t="s">
        <v>695</v>
      </c>
      <c r="B48" s="9" t="s">
        <v>399</v>
      </c>
      <c r="C48" s="9" t="s">
        <v>372</v>
      </c>
      <c r="D48" s="33" t="n">
        <v>100000</v>
      </c>
      <c r="E48" s="3" t="s">
        <v>696</v>
      </c>
    </row>
    <row r="49" customFormat="false" ht="15" hidden="false" customHeight="false" outlineLevel="0" collapsed="false">
      <c r="A49" s="9" t="s">
        <v>400</v>
      </c>
      <c r="B49" s="9" t="s">
        <v>400</v>
      </c>
      <c r="C49" s="9" t="s">
        <v>372</v>
      </c>
      <c r="D49" s="33" t="n">
        <v>100000</v>
      </c>
      <c r="E49" s="3" t="s">
        <v>697</v>
      </c>
    </row>
    <row r="50" customFormat="false" ht="15" hidden="false" customHeight="false" outlineLevel="0" collapsed="false">
      <c r="A50" s="9" t="s">
        <v>401</v>
      </c>
      <c r="B50" s="9" t="s">
        <v>401</v>
      </c>
      <c r="C50" s="9" t="s">
        <v>372</v>
      </c>
      <c r="D50" s="33" t="n">
        <v>45000</v>
      </c>
      <c r="E50" s="3"/>
    </row>
    <row r="51" customFormat="false" ht="15" hidden="false" customHeight="false" outlineLevel="0" collapsed="false">
      <c r="A51" s="9" t="s">
        <v>698</v>
      </c>
      <c r="B51" s="9"/>
      <c r="C51" s="9" t="s">
        <v>372</v>
      </c>
      <c r="D51" s="33" t="n">
        <v>0</v>
      </c>
      <c r="E51" s="3" t="s">
        <v>699</v>
      </c>
    </row>
    <row r="52" customFormat="false" ht="15" hidden="false" customHeight="false" outlineLevel="0" collapsed="false">
      <c r="A52" s="9" t="s">
        <v>406</v>
      </c>
      <c r="B52" s="9" t="s">
        <v>406</v>
      </c>
      <c r="C52" s="9" t="s">
        <v>407</v>
      </c>
      <c r="D52" s="33" t="n">
        <v>260000</v>
      </c>
      <c r="E52" s="3" t="s">
        <v>700</v>
      </c>
    </row>
    <row r="53" customFormat="false" ht="15" hidden="false" customHeight="false" outlineLevel="0" collapsed="false">
      <c r="A53" s="9" t="s">
        <v>410</v>
      </c>
      <c r="B53" s="9" t="s">
        <v>410</v>
      </c>
      <c r="C53" s="9" t="s">
        <v>407</v>
      </c>
      <c r="D53" s="33" t="n">
        <v>375000</v>
      </c>
      <c r="E53" s="3" t="s">
        <v>701</v>
      </c>
    </row>
    <row r="54" customFormat="false" ht="15" hidden="false" customHeight="false" outlineLevel="0" collapsed="false">
      <c r="A54" s="9" t="s">
        <v>413</v>
      </c>
      <c r="B54" s="9" t="s">
        <v>413</v>
      </c>
      <c r="C54" s="9" t="s">
        <v>407</v>
      </c>
      <c r="D54" s="33" t="n">
        <v>250000</v>
      </c>
      <c r="E54" s="3" t="s">
        <v>702</v>
      </c>
    </row>
    <row r="55" customFormat="false" ht="15" hidden="false" customHeight="false" outlineLevel="0" collapsed="false">
      <c r="A55" s="9" t="s">
        <v>416</v>
      </c>
      <c r="B55" s="9" t="s">
        <v>416</v>
      </c>
      <c r="C55" s="9" t="s">
        <v>407</v>
      </c>
      <c r="D55" s="33" t="n">
        <v>320000</v>
      </c>
      <c r="E55" s="3" t="s">
        <v>703</v>
      </c>
    </row>
    <row r="56" customFormat="false" ht="15" hidden="false" customHeight="false" outlineLevel="0" collapsed="false">
      <c r="A56" s="9" t="s">
        <v>417</v>
      </c>
      <c r="B56" s="9" t="s">
        <v>417</v>
      </c>
      <c r="C56" s="9" t="s">
        <v>407</v>
      </c>
      <c r="D56" s="33" t="n">
        <v>348000</v>
      </c>
      <c r="E56" s="3" t="s">
        <v>704</v>
      </c>
    </row>
    <row r="57" customFormat="false" ht="15" hidden="false" customHeight="false" outlineLevel="0" collapsed="false">
      <c r="A57" s="9" t="s">
        <v>420</v>
      </c>
      <c r="B57" s="9" t="s">
        <v>420</v>
      </c>
      <c r="C57" s="9" t="s">
        <v>407</v>
      </c>
      <c r="D57" s="33" t="n">
        <v>320000</v>
      </c>
      <c r="E57" s="3"/>
    </row>
    <row r="58" customFormat="false" ht="15" hidden="false" customHeight="false" outlineLevel="0" collapsed="false">
      <c r="A58" s="9" t="s">
        <v>421</v>
      </c>
      <c r="B58" s="9" t="s">
        <v>421</v>
      </c>
      <c r="C58" s="9" t="s">
        <v>407</v>
      </c>
      <c r="D58" s="33" t="n">
        <v>100000</v>
      </c>
      <c r="E58" s="3" t="s">
        <v>705</v>
      </c>
    </row>
    <row r="59" customFormat="false" ht="15" hidden="false" customHeight="false" outlineLevel="0" collapsed="false">
      <c r="A59" s="9" t="s">
        <v>424</v>
      </c>
      <c r="B59" s="9" t="s">
        <v>424</v>
      </c>
      <c r="C59" s="9" t="s">
        <v>407</v>
      </c>
      <c r="D59" s="33" t="n">
        <v>400000</v>
      </c>
      <c r="E59" s="3" t="s">
        <v>706</v>
      </c>
    </row>
    <row r="60" customFormat="false" ht="15" hidden="false" customHeight="false" outlineLevel="0" collapsed="false">
      <c r="A60" s="9" t="s">
        <v>425</v>
      </c>
      <c r="B60" s="9" t="s">
        <v>425</v>
      </c>
      <c r="C60" s="9" t="s">
        <v>407</v>
      </c>
      <c r="D60" s="33" t="n">
        <v>120000</v>
      </c>
      <c r="E60" s="3" t="s">
        <v>707</v>
      </c>
    </row>
    <row r="61" customFormat="false" ht="15" hidden="false" customHeight="false" outlineLevel="0" collapsed="false">
      <c r="A61" s="9" t="s">
        <v>428</v>
      </c>
      <c r="B61" s="9" t="s">
        <v>428</v>
      </c>
      <c r="C61" s="9" t="s">
        <v>407</v>
      </c>
      <c r="D61" s="33" t="n">
        <v>338000</v>
      </c>
      <c r="E61" s="3" t="s">
        <v>708</v>
      </c>
    </row>
    <row r="62" customFormat="false" ht="15" hidden="false" customHeight="false" outlineLevel="0" collapsed="false">
      <c r="A62" s="9" t="s">
        <v>429</v>
      </c>
      <c r="B62" s="9" t="s">
        <v>429</v>
      </c>
      <c r="C62" s="9" t="s">
        <v>407</v>
      </c>
      <c r="D62" s="33" t="n">
        <v>100000</v>
      </c>
      <c r="E62" s="3" t="s">
        <v>709</v>
      </c>
    </row>
    <row r="63" customFormat="false" ht="15" hidden="false" customHeight="false" outlineLevel="0" collapsed="false">
      <c r="A63" s="9" t="s">
        <v>430</v>
      </c>
      <c r="B63" s="9" t="s">
        <v>430</v>
      </c>
      <c r="C63" s="9" t="s">
        <v>407</v>
      </c>
      <c r="D63" s="33" t="n">
        <v>20000</v>
      </c>
      <c r="E63" s="3" t="s">
        <v>710</v>
      </c>
    </row>
    <row r="64" customFormat="false" ht="15" hidden="false" customHeight="false" outlineLevel="0" collapsed="false">
      <c r="A64" s="9" t="s">
        <v>433</v>
      </c>
      <c r="B64" s="9" t="s">
        <v>433</v>
      </c>
      <c r="C64" s="9" t="s">
        <v>407</v>
      </c>
      <c r="D64" s="33" t="n">
        <v>100000</v>
      </c>
      <c r="E64" s="3" t="s">
        <v>711</v>
      </c>
    </row>
    <row r="65" customFormat="false" ht="15" hidden="false" customHeight="false" outlineLevel="0" collapsed="false">
      <c r="A65" s="9" t="s">
        <v>436</v>
      </c>
      <c r="B65" s="9" t="s">
        <v>436</v>
      </c>
      <c r="C65" s="9" t="s">
        <v>407</v>
      </c>
      <c r="D65" s="33" t="n">
        <v>0</v>
      </c>
      <c r="E65" s="3"/>
    </row>
    <row r="66" customFormat="false" ht="15" hidden="false" customHeight="false" outlineLevel="0" collapsed="false">
      <c r="A66" s="9" t="s">
        <v>437</v>
      </c>
      <c r="B66" s="9" t="s">
        <v>437</v>
      </c>
      <c r="C66" s="9" t="s">
        <v>407</v>
      </c>
      <c r="D66" s="33" t="n">
        <v>300000</v>
      </c>
      <c r="E66" s="3" t="s">
        <v>712</v>
      </c>
    </row>
    <row r="67" customFormat="false" ht="15" hidden="false" customHeight="false" outlineLevel="0" collapsed="false">
      <c r="A67" s="9" t="s">
        <v>438</v>
      </c>
      <c r="B67" s="9" t="s">
        <v>438</v>
      </c>
      <c r="C67" s="9" t="s">
        <v>407</v>
      </c>
      <c r="D67" s="33" t="n">
        <v>41000</v>
      </c>
      <c r="E67" s="3" t="s">
        <v>713</v>
      </c>
    </row>
    <row r="68" customFormat="false" ht="15" hidden="false" customHeight="false" outlineLevel="0" collapsed="false">
      <c r="A68" s="9" t="s">
        <v>441</v>
      </c>
      <c r="B68" s="9" t="s">
        <v>441</v>
      </c>
      <c r="C68" s="9" t="s">
        <v>407</v>
      </c>
      <c r="D68" s="33" t="n">
        <v>30000</v>
      </c>
      <c r="E68" s="3" t="s">
        <v>714</v>
      </c>
    </row>
    <row r="69" customFormat="false" ht="15" hidden="false" customHeight="false" outlineLevel="0" collapsed="false">
      <c r="A69" s="9" t="s">
        <v>444</v>
      </c>
      <c r="B69" s="9" t="s">
        <v>444</v>
      </c>
      <c r="C69" s="9" t="s">
        <v>407</v>
      </c>
      <c r="D69" s="33" t="n">
        <v>4500</v>
      </c>
      <c r="E69" s="3" t="s">
        <v>715</v>
      </c>
    </row>
    <row r="70" customFormat="false" ht="15" hidden="false" customHeight="false" outlineLevel="0" collapsed="false">
      <c r="A70" s="9" t="s">
        <v>447</v>
      </c>
      <c r="B70" s="9" t="s">
        <v>447</v>
      </c>
      <c r="C70" s="9" t="s">
        <v>407</v>
      </c>
      <c r="D70" s="33" t="n">
        <v>28000</v>
      </c>
      <c r="E70" s="3"/>
    </row>
    <row r="71" customFormat="false" ht="15" hidden="false" customHeight="false" outlineLevel="0" collapsed="false">
      <c r="A71" s="9" t="s">
        <v>716</v>
      </c>
      <c r="B71" s="9"/>
      <c r="C71" s="9" t="s">
        <v>407</v>
      </c>
      <c r="D71" s="33" t="n">
        <v>0</v>
      </c>
      <c r="E71" s="3"/>
    </row>
    <row r="72" customFormat="false" ht="15" hidden="false" customHeight="false" outlineLevel="0" collapsed="false">
      <c r="A72" s="9" t="s">
        <v>717</v>
      </c>
      <c r="B72" s="9"/>
      <c r="C72" s="9" t="s">
        <v>407</v>
      </c>
      <c r="D72" s="33" t="n">
        <v>0</v>
      </c>
      <c r="E72" s="3"/>
    </row>
    <row r="73" customFormat="false" ht="15" hidden="false" customHeight="false" outlineLevel="0" collapsed="false">
      <c r="A73" s="9" t="s">
        <v>718</v>
      </c>
      <c r="B73" s="9"/>
      <c r="C73" s="9" t="s">
        <v>407</v>
      </c>
      <c r="D73" s="33" t="n">
        <v>0</v>
      </c>
      <c r="E73" s="3"/>
    </row>
    <row r="74" customFormat="false" ht="15" hidden="false" customHeight="false" outlineLevel="0" collapsed="false">
      <c r="A74" s="14" t="s">
        <v>719</v>
      </c>
      <c r="D74" s="16" t="n">
        <f aca="false">SUM(D21:D73)</f>
        <v>38143674.31</v>
      </c>
    </row>
    <row r="76" customFormat="false" ht="15" hidden="false" customHeight="false" outlineLevel="0" collapsed="false">
      <c r="A76" s="9" t="s">
        <v>464</v>
      </c>
      <c r="B76" s="9" t="s">
        <v>464</v>
      </c>
      <c r="C76" s="9" t="s">
        <v>43</v>
      </c>
      <c r="D76" s="33" t="n">
        <v>1337386</v>
      </c>
    </row>
    <row r="78" customFormat="false" ht="15" hidden="false" customHeight="false" outlineLevel="0" collapsed="false">
      <c r="A78" s="26" t="s">
        <v>720</v>
      </c>
      <c r="D78" s="28" t="n">
        <f aca="false">'Presupuesto 2026'!$D$19-'Presupuesto 2026'!$D$74-'Presupuesto 2026'!$D$76</f>
        <v>29630.7899999991</v>
      </c>
    </row>
    <row r="80" customFormat="false" ht="15" hidden="false" customHeight="false" outlineLevel="0" collapsed="false">
      <c r="A80" s="3" t="s">
        <v>721</v>
      </c>
      <c r="D80" s="12" t="n">
        <f aca="false">ROUND('Presupuesto 2026'!$D$19-39510691,0)+ROUND('Presupuesto 2026'!$D$74-38143674,0)</f>
        <v>0</v>
      </c>
      <c r="E80" s="3" t="s">
        <v>722</v>
      </c>
    </row>
    <row r="82" customFormat="false" ht="15" hidden="false" customHeight="false" outlineLevel="0" collapsed="false">
      <c r="A82" s="9" t="s">
        <v>723</v>
      </c>
    </row>
    <row r="83" customFormat="false" ht="15" hidden="false" customHeight="false" outlineLevel="0" collapsed="false">
      <c r="A83" s="3" t="s">
        <v>724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D2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8"/>
    <col collapsed="false" customWidth="true" hidden="false" outlineLevel="0" max="2" min="2" style="0" width="70"/>
    <col collapsed="false" customWidth="true" hidden="false" outlineLevel="0" max="3" min="3" style="0" width="18"/>
    <col collapsed="false" customWidth="true" hidden="false" outlineLevel="0" max="4" min="4" style="0" width="34"/>
  </cols>
  <sheetData>
    <row r="1" customFormat="false" ht="17.35" hidden="false" customHeight="false" outlineLevel="0" collapsed="false">
      <c r="A1" s="1" t="s">
        <v>725</v>
      </c>
    </row>
    <row r="2" customFormat="false" ht="15" hidden="false" customHeight="false" outlineLevel="0" collapsed="false">
      <c r="A2" s="2" t="s">
        <v>726</v>
      </c>
    </row>
    <row r="3" customFormat="false" ht="15" hidden="false" customHeight="false" outlineLevel="0" collapsed="false">
      <c r="A3" s="3" t="s">
        <v>727</v>
      </c>
    </row>
    <row r="5" customFormat="false" ht="22.35" hidden="false" customHeight="false" outlineLevel="0" collapsed="false">
      <c r="A5" s="4" t="s">
        <v>728</v>
      </c>
      <c r="B5" s="4" t="s">
        <v>729</v>
      </c>
      <c r="C5" s="4" t="s">
        <v>730</v>
      </c>
      <c r="D5" s="4" t="s">
        <v>731</v>
      </c>
    </row>
    <row r="6" customFormat="false" ht="22.35" hidden="false" customHeight="false" outlineLevel="0" collapsed="false">
      <c r="A6" s="9" t="s">
        <v>732</v>
      </c>
      <c r="B6" s="49" t="s">
        <v>733</v>
      </c>
      <c r="C6" s="33" t="n">
        <v>10000</v>
      </c>
      <c r="D6" s="9" t="s">
        <v>398</v>
      </c>
    </row>
    <row r="7" customFormat="false" ht="15" hidden="false" customHeight="false" outlineLevel="0" collapsed="false">
      <c r="A7" s="9" t="s">
        <v>734</v>
      </c>
      <c r="B7" s="49" t="s">
        <v>735</v>
      </c>
      <c r="C7" s="33" t="n">
        <v>10000</v>
      </c>
      <c r="D7" s="9" t="s">
        <v>387</v>
      </c>
    </row>
    <row r="8" customFormat="false" ht="15" hidden="false" customHeight="false" outlineLevel="0" collapsed="false">
      <c r="A8" s="9" t="s">
        <v>736</v>
      </c>
      <c r="B8" s="49" t="s">
        <v>737</v>
      </c>
      <c r="C8" s="33" t="n">
        <v>8000</v>
      </c>
      <c r="D8" s="9" t="s">
        <v>396</v>
      </c>
    </row>
    <row r="9" customFormat="false" ht="15" hidden="false" customHeight="false" outlineLevel="0" collapsed="false">
      <c r="A9" s="9" t="s">
        <v>738</v>
      </c>
      <c r="B9" s="49" t="s">
        <v>739</v>
      </c>
      <c r="C9" s="33" t="n">
        <v>3500</v>
      </c>
      <c r="D9" s="9" t="s">
        <v>387</v>
      </c>
    </row>
    <row r="10" customFormat="false" ht="15" hidden="false" customHeight="false" outlineLevel="0" collapsed="false">
      <c r="A10" s="9" t="s">
        <v>740</v>
      </c>
      <c r="B10" s="49" t="s">
        <v>741</v>
      </c>
      <c r="C10" s="33" t="n">
        <v>24000</v>
      </c>
      <c r="D10" s="9" t="s">
        <v>383</v>
      </c>
    </row>
    <row r="11" customFormat="false" ht="15" hidden="false" customHeight="false" outlineLevel="0" collapsed="false">
      <c r="A11" s="9" t="s">
        <v>740</v>
      </c>
      <c r="B11" s="49" t="s">
        <v>742</v>
      </c>
      <c r="C11" s="33" t="n">
        <v>5000</v>
      </c>
      <c r="D11" s="9" t="s">
        <v>383</v>
      </c>
    </row>
    <row r="12" customFormat="false" ht="15" hidden="false" customHeight="false" outlineLevel="0" collapsed="false">
      <c r="A12" s="9" t="s">
        <v>740</v>
      </c>
      <c r="B12" s="49" t="s">
        <v>743</v>
      </c>
      <c r="C12" s="33" t="n">
        <v>5000</v>
      </c>
      <c r="D12" s="9" t="s">
        <v>383</v>
      </c>
    </row>
    <row r="13" customFormat="false" ht="15" hidden="false" customHeight="false" outlineLevel="0" collapsed="false">
      <c r="A13" s="9" t="s">
        <v>744</v>
      </c>
      <c r="B13" s="49" t="s">
        <v>745</v>
      </c>
      <c r="C13" s="33" t="n">
        <v>10000</v>
      </c>
      <c r="D13" s="9" t="s">
        <v>399</v>
      </c>
    </row>
    <row r="14" customFormat="false" ht="15" hidden="false" customHeight="false" outlineLevel="0" collapsed="false">
      <c r="A14" s="9" t="s">
        <v>746</v>
      </c>
      <c r="B14" s="49" t="s">
        <v>747</v>
      </c>
      <c r="C14" s="33" t="n">
        <v>9000</v>
      </c>
      <c r="D14" s="9" t="s">
        <v>397</v>
      </c>
    </row>
    <row r="15" customFormat="false" ht="15" hidden="false" customHeight="false" outlineLevel="0" collapsed="false">
      <c r="A15" s="9" t="s">
        <v>748</v>
      </c>
      <c r="B15" s="49" t="s">
        <v>749</v>
      </c>
      <c r="C15" s="33" t="n">
        <v>17230</v>
      </c>
      <c r="D15" s="9" t="s">
        <v>397</v>
      </c>
    </row>
    <row r="16" customFormat="false" ht="15" hidden="false" customHeight="false" outlineLevel="0" collapsed="false">
      <c r="A16" s="9" t="s">
        <v>750</v>
      </c>
      <c r="B16" s="49" t="s">
        <v>751</v>
      </c>
      <c r="C16" s="33" t="n">
        <v>8000</v>
      </c>
      <c r="D16" s="9" t="s">
        <v>384</v>
      </c>
    </row>
    <row r="17" customFormat="false" ht="15" hidden="false" customHeight="false" outlineLevel="0" collapsed="false">
      <c r="A17" s="9" t="s">
        <v>752</v>
      </c>
      <c r="B17" s="49" t="s">
        <v>753</v>
      </c>
      <c r="C17" s="33" t="n">
        <f aca="false">1422.41*6</f>
        <v>8534.46</v>
      </c>
      <c r="D17" s="9" t="s">
        <v>386</v>
      </c>
    </row>
    <row r="18" customFormat="false" ht="22.35" hidden="false" customHeight="false" outlineLevel="0" collapsed="false">
      <c r="A18" s="9" t="s">
        <v>754</v>
      </c>
      <c r="B18" s="49" t="s">
        <v>755</v>
      </c>
      <c r="C18" s="33" t="n">
        <v>530000</v>
      </c>
      <c r="D18" s="9" t="s">
        <v>388</v>
      </c>
    </row>
    <row r="19" customFormat="false" ht="15" hidden="false" customHeight="false" outlineLevel="0" collapsed="false">
      <c r="A19" s="9" t="s">
        <v>756</v>
      </c>
      <c r="B19" s="49" t="s">
        <v>757</v>
      </c>
      <c r="C19" s="33" t="n">
        <v>320000</v>
      </c>
      <c r="D19" s="9" t="s">
        <v>384</v>
      </c>
    </row>
    <row r="20" customFormat="false" ht="15" hidden="false" customHeight="false" outlineLevel="0" collapsed="false">
      <c r="A20" s="26" t="s">
        <v>81</v>
      </c>
      <c r="C20" s="28" t="n">
        <f aca="false">SUM(C6:C19)</f>
        <v>968264.46</v>
      </c>
    </row>
    <row r="22" customFormat="false" ht="15" hidden="false" customHeight="false" outlineLevel="0" collapsed="false">
      <c r="A22" s="35" t="s">
        <v>504</v>
      </c>
    </row>
    <row r="23" customFormat="false" ht="15" hidden="false" customHeight="false" outlineLevel="0" collapsed="false">
      <c r="A23" s="9" t="s">
        <v>758</v>
      </c>
    </row>
    <row r="24" customFormat="false" ht="15" hidden="false" customHeight="false" outlineLevel="0" collapsed="false">
      <c r="A24" s="3" t="s">
        <v>759</v>
      </c>
    </row>
    <row r="25" customFormat="false" ht="15" hidden="false" customHeight="false" outlineLevel="0" collapsed="false">
      <c r="A25" s="9" t="s">
        <v>760</v>
      </c>
    </row>
    <row r="26" customFormat="false" ht="15" hidden="false" customHeight="false" outlineLevel="0" collapsed="false">
      <c r="A26" s="3" t="s">
        <v>761</v>
      </c>
    </row>
    <row r="27" customFormat="false" ht="15" hidden="false" customHeight="false" outlineLevel="0" collapsed="false">
      <c r="A27" s="9" t="s">
        <v>762</v>
      </c>
    </row>
    <row r="28" customFormat="false" ht="15" hidden="false" customHeight="false" outlineLevel="0" collapsed="false">
      <c r="A28" s="3" t="s">
        <v>763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2026-11-04T23:27:57Z</dcterms:created>
  <dc:creator>openpyxl</dc:creator>
  <dc:description/>
  <dc:language>en-US</dc:language>
  <cp:lastModifiedBy/>
  <dcterms:modified xsi:type="dcterms:W3CDTF">2026-11-04T23:27:57Z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